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MUSREN 080222\"/>
    </mc:Choice>
  </mc:AlternateContent>
  <bookViews>
    <workbookView xWindow="-120" yWindow="-120" windowWidth="20730" windowHeight="11160"/>
  </bookViews>
  <sheets>
    <sheet name="Form 3.Rekap" sheetId="1" r:id="rId1"/>
    <sheet name="musrenbang baciro" sheetId="4" r:id="rId2"/>
    <sheet name="USULAN_FORM_2klitren" sheetId="3" r:id="rId3"/>
  </sheets>
  <externalReferences>
    <externalReference r:id="rId4"/>
  </externalReferenc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83" i="1" l="1"/>
  <c r="O441" i="1" l="1"/>
  <c r="O433" i="1"/>
  <c r="O431" i="1"/>
  <c r="O423" i="1"/>
  <c r="O422" i="1"/>
  <c r="O421" i="1"/>
  <c r="O418" i="1"/>
  <c r="N414" i="1"/>
  <c r="N410" i="1"/>
  <c r="N409" i="1"/>
  <c r="N406" i="1"/>
  <c r="N405" i="1"/>
  <c r="N404" i="1"/>
  <c r="N403" i="1"/>
  <c r="O400" i="1"/>
  <c r="N392" i="1"/>
  <c r="N391" i="1"/>
  <c r="N390" i="1"/>
  <c r="N389" i="1"/>
  <c r="N388" i="1"/>
  <c r="N386" i="1"/>
  <c r="N385" i="1"/>
  <c r="N383" i="1"/>
  <c r="N382" i="1"/>
  <c r="N381" i="1"/>
  <c r="N379" i="1"/>
  <c r="N377" i="1"/>
  <c r="N376" i="1"/>
  <c r="N375" i="1"/>
  <c r="N374" i="1"/>
  <c r="N373" i="1"/>
  <c r="N11" i="3"/>
  <c r="N12" i="3"/>
  <c r="N13" i="3"/>
  <c r="N14" i="3"/>
  <c r="N15" i="3"/>
  <c r="N17" i="3"/>
  <c r="N19" i="3"/>
  <c r="N20" i="3"/>
  <c r="N21" i="3"/>
  <c r="N23" i="3"/>
  <c r="N24" i="3"/>
  <c r="N26" i="3"/>
  <c r="N27" i="3"/>
  <c r="N28" i="3"/>
  <c r="N29" i="3"/>
  <c r="N30" i="3"/>
  <c r="O38" i="3"/>
  <c r="S508" i="4"/>
  <c r="N508" i="4"/>
  <c r="R508" i="4" s="1"/>
  <c r="S479" i="4"/>
  <c r="N477" i="4"/>
  <c r="N479" i="4" s="1"/>
  <c r="R479" i="4" s="1"/>
  <c r="S471" i="4"/>
  <c r="N470" i="4"/>
  <c r="N471" i="4" s="1"/>
  <c r="R471" i="4" s="1"/>
  <c r="S464" i="4"/>
  <c r="N463" i="4"/>
  <c r="N464" i="4" s="1"/>
  <c r="R464" i="4" s="1"/>
  <c r="N457" i="4"/>
  <c r="R457" i="4" s="1"/>
  <c r="O456" i="4"/>
  <c r="O455" i="4"/>
  <c r="O454" i="4"/>
  <c r="O453" i="4"/>
  <c r="O457" i="4" s="1"/>
  <c r="S457" i="4" s="1"/>
  <c r="O447" i="4"/>
  <c r="S447" i="4" s="1"/>
  <c r="N447" i="4"/>
  <c r="R447" i="4" s="1"/>
  <c r="N440" i="4"/>
  <c r="O434" i="4"/>
  <c r="S434" i="4" s="1"/>
  <c r="N432" i="4"/>
  <c r="N434" i="4" s="1"/>
  <c r="R434" i="4" s="1"/>
  <c r="O426" i="4"/>
  <c r="S426" i="4" s="1"/>
  <c r="N426" i="4"/>
  <c r="R426" i="4" s="1"/>
  <c r="O416" i="4"/>
  <c r="S416" i="4" s="1"/>
  <c r="N414" i="4"/>
  <c r="N416" i="4" s="1"/>
  <c r="R416" i="4" s="1"/>
  <c r="O407" i="4"/>
  <c r="S407" i="4" s="1"/>
  <c r="N407" i="4"/>
  <c r="R407" i="4" s="1"/>
  <c r="R394" i="4"/>
  <c r="O394" i="4"/>
  <c r="S394" i="4" s="1"/>
  <c r="O386" i="4"/>
  <c r="S386" i="4" s="1"/>
  <c r="N386" i="4"/>
  <c r="R386" i="4" s="1"/>
  <c r="O366" i="4"/>
  <c r="S366" i="4" s="1"/>
  <c r="N366" i="4"/>
  <c r="R366" i="4" s="1"/>
  <c r="O355" i="4"/>
  <c r="S355" i="4" s="1"/>
  <c r="N355" i="4"/>
  <c r="R355" i="4" s="1"/>
  <c r="O344" i="4"/>
  <c r="S344" i="4" s="1"/>
  <c r="N344" i="4"/>
  <c r="R344" i="4" s="1"/>
  <c r="N331" i="4"/>
  <c r="R331" i="4" s="1"/>
  <c r="O325" i="4"/>
  <c r="O324" i="4"/>
  <c r="O321" i="4"/>
  <c r="O318" i="4"/>
  <c r="O317" i="4"/>
  <c r="O316" i="4"/>
  <c r="O315" i="4"/>
  <c r="O314" i="4"/>
  <c r="O309" i="4"/>
  <c r="O308" i="4"/>
  <c r="O303" i="4"/>
  <c r="O300" i="4"/>
  <c r="O299" i="4"/>
  <c r="O298" i="4"/>
  <c r="O297" i="4"/>
  <c r="O296" i="4"/>
  <c r="O295" i="4"/>
  <c r="O294" i="4"/>
  <c r="O293" i="4"/>
  <c r="O292" i="4"/>
  <c r="O291" i="4"/>
  <c r="O289" i="4"/>
  <c r="O288" i="4"/>
  <c r="O287" i="4"/>
  <c r="O286" i="4"/>
  <c r="O285" i="4"/>
  <c r="O284" i="4"/>
  <c r="O283" i="4"/>
  <c r="O282" i="4"/>
  <c r="O281" i="4"/>
  <c r="O278" i="4"/>
  <c r="O277" i="4"/>
  <c r="O276" i="4"/>
  <c r="O275" i="4"/>
  <c r="O274" i="4"/>
  <c r="O272" i="4"/>
  <c r="O271" i="4"/>
  <c r="O270" i="4"/>
  <c r="O269" i="4"/>
  <c r="O268" i="4"/>
  <c r="O267" i="4"/>
  <c r="O266" i="4"/>
  <c r="O265" i="4"/>
  <c r="O264" i="4"/>
  <c r="O262" i="4"/>
  <c r="O261" i="4"/>
  <c r="O260" i="4"/>
  <c r="O259" i="4"/>
  <c r="O258" i="4"/>
  <c r="O256" i="4"/>
  <c r="O255" i="4"/>
  <c r="O254" i="4"/>
  <c r="O253" i="4"/>
  <c r="O252" i="4"/>
  <c r="O251" i="4"/>
  <c r="O250" i="4"/>
  <c r="O243" i="4"/>
  <c r="O242" i="4"/>
  <c r="O241" i="4"/>
  <c r="O240" i="4"/>
  <c r="O239" i="4"/>
  <c r="O238" i="4"/>
  <c r="O237" i="4"/>
  <c r="O236" i="4"/>
  <c r="O226" i="4"/>
  <c r="O224" i="4"/>
  <c r="O219" i="4"/>
  <c r="O218" i="4"/>
  <c r="O217" i="4"/>
  <c r="O216" i="4"/>
  <c r="O215" i="4"/>
  <c r="O213" i="4"/>
  <c r="O212" i="4"/>
  <c r="O211" i="4"/>
  <c r="O210" i="4"/>
  <c r="O209" i="4"/>
  <c r="O204" i="4"/>
  <c r="N203" i="4"/>
  <c r="O202" i="4"/>
  <c r="O201" i="4"/>
  <c r="O195" i="4"/>
  <c r="O194" i="4"/>
  <c r="N192" i="4"/>
  <c r="O191" i="4"/>
  <c r="N190" i="4"/>
  <c r="N189" i="4"/>
  <c r="N229" i="4" s="1"/>
  <c r="R229" i="4" s="1"/>
  <c r="N188" i="4"/>
  <c r="O187" i="4"/>
  <c r="O186" i="4"/>
  <c r="O185" i="4"/>
  <c r="O184" i="4"/>
  <c r="O173" i="4"/>
  <c r="O172" i="4"/>
  <c r="O168" i="4"/>
  <c r="O167" i="4"/>
  <c r="O166" i="4"/>
  <c r="N163" i="4"/>
  <c r="O162" i="4"/>
  <c r="O161" i="4"/>
  <c r="O160" i="4"/>
  <c r="M160" i="4"/>
  <c r="O159" i="4"/>
  <c r="O158" i="4"/>
  <c r="O157" i="4"/>
  <c r="O156" i="4"/>
  <c r="O155" i="4"/>
  <c r="O154" i="4"/>
  <c r="O153" i="4"/>
  <c r="O151" i="4"/>
  <c r="O150" i="4"/>
  <c r="O149" i="4"/>
  <c r="N147" i="4"/>
  <c r="N178" i="4" s="1"/>
  <c r="R178" i="4" s="1"/>
  <c r="O143" i="4"/>
  <c r="O141" i="4"/>
  <c r="O178" i="4" s="1"/>
  <c r="S178" i="4" s="1"/>
  <c r="P133" i="4"/>
  <c r="N133" i="4"/>
  <c r="R133" i="4" s="1"/>
  <c r="O91" i="4"/>
  <c r="O133" i="4" s="1"/>
  <c r="S133" i="4" s="1"/>
  <c r="O75" i="4"/>
  <c r="O74" i="4"/>
  <c r="O50" i="4"/>
  <c r="N48" i="4"/>
  <c r="N47" i="4"/>
  <c r="N83" i="4" s="1"/>
  <c r="R83" i="4" s="1"/>
  <c r="O46" i="4"/>
  <c r="O45" i="4"/>
  <c r="O44" i="4"/>
  <c r="O43" i="4"/>
  <c r="O32" i="4"/>
  <c r="O37" i="4" s="1"/>
  <c r="S37" i="4" s="1"/>
  <c r="N30" i="4"/>
  <c r="N27" i="4"/>
  <c r="N37" i="4" s="1"/>
  <c r="R37" i="4" s="1"/>
  <c r="O83" i="4" l="1"/>
  <c r="S83" i="4" s="1"/>
  <c r="O229" i="4"/>
  <c r="S229" i="4" s="1"/>
  <c r="O331" i="4"/>
  <c r="S331" i="4" s="1"/>
  <c r="S483" i="4"/>
  <c r="R483" i="4"/>
  <c r="R510" i="4" s="1"/>
  <c r="R513" i="4" s="1"/>
  <c r="D99" i="3"/>
  <c r="D96" i="3"/>
  <c r="P91" i="3"/>
  <c r="N53" i="3"/>
  <c r="N49" i="3"/>
  <c r="O80" i="3"/>
  <c r="N48" i="3"/>
  <c r="O72" i="3"/>
  <c r="O70" i="3"/>
  <c r="N45" i="3"/>
  <c r="N44" i="3"/>
  <c r="O62" i="3"/>
  <c r="O61" i="3"/>
  <c r="N43" i="3"/>
  <c r="N42" i="3"/>
  <c r="O60" i="3"/>
  <c r="O57" i="3"/>
  <c r="D98" i="3" l="1"/>
  <c r="D97" i="3"/>
  <c r="N91" i="3"/>
  <c r="O91" i="3"/>
  <c r="A641" i="1"/>
  <c r="A644" i="1"/>
  <c r="A647" i="1"/>
  <c r="A650" i="1"/>
  <c r="A653" i="1"/>
  <c r="A656" i="1"/>
  <c r="A659" i="1"/>
  <c r="A662" i="1"/>
  <c r="A665" i="1"/>
  <c r="A668" i="1"/>
  <c r="A671" i="1"/>
  <c r="A674" i="1"/>
  <c r="A677" i="1"/>
  <c r="A680" i="1"/>
  <c r="A683" i="1"/>
  <c r="A686" i="1"/>
  <c r="A689" i="1"/>
  <c r="A692" i="1"/>
  <c r="A695" i="1"/>
  <c r="A698" i="1"/>
  <c r="A701" i="1"/>
  <c r="A704" i="1"/>
  <c r="A707" i="1"/>
  <c r="A710" i="1"/>
  <c r="A713" i="1"/>
  <c r="O92" i="1"/>
  <c r="O56" i="1"/>
  <c r="O28" i="1"/>
  <c r="O13" i="1"/>
  <c r="O53" i="1"/>
  <c r="O24" i="1"/>
  <c r="O12" i="1"/>
  <c r="O52" i="1"/>
  <c r="O51" i="1"/>
  <c r="O50" i="1"/>
  <c r="O17" i="1"/>
  <c r="O49" i="1"/>
  <c r="O61" i="1"/>
  <c r="O15" i="1"/>
  <c r="O14" i="1"/>
  <c r="O48" i="1"/>
  <c r="O18" i="1"/>
  <c r="O44" i="1"/>
  <c r="O43" i="1"/>
  <c r="O11" i="1"/>
  <c r="O45" i="1"/>
  <c r="O8" i="1"/>
  <c r="O64" i="1"/>
  <c r="O9" i="1"/>
  <c r="A638" i="1"/>
  <c r="P693" i="1"/>
  <c r="A519" i="1"/>
  <c r="A520" i="1" s="1"/>
  <c r="A522" i="1"/>
  <c r="A523" i="1" s="1"/>
  <c r="A525" i="1"/>
  <c r="A526" i="1" s="1"/>
  <c r="A528" i="1"/>
  <c r="A529" i="1" s="1"/>
  <c r="A531" i="1"/>
  <c r="A532" i="1" s="1"/>
  <c r="A534" i="1"/>
  <c r="A535" i="1" s="1"/>
  <c r="A537" i="1"/>
  <c r="A538" i="1" s="1"/>
  <c r="A540" i="1"/>
  <c r="A541" i="1" s="1"/>
  <c r="A543" i="1"/>
  <c r="A544" i="1" s="1"/>
  <c r="A546" i="1"/>
  <c r="A547" i="1" s="1"/>
  <c r="A549" i="1"/>
  <c r="A550" i="1" s="1"/>
  <c r="A552" i="1"/>
  <c r="A553" i="1" s="1"/>
  <c r="A555" i="1"/>
  <c r="A556" i="1" s="1"/>
  <c r="A558" i="1"/>
  <c r="A559" i="1" s="1"/>
  <c r="A561" i="1"/>
  <c r="A562" i="1" s="1"/>
  <c r="A564" i="1"/>
  <c r="A565" i="1" s="1"/>
  <c r="A567" i="1"/>
  <c r="A568" i="1" s="1"/>
  <c r="A570" i="1"/>
  <c r="A571" i="1" s="1"/>
  <c r="A573" i="1"/>
  <c r="A574" i="1" s="1"/>
  <c r="A576" i="1"/>
  <c r="A577" i="1" s="1"/>
  <c r="A579" i="1"/>
  <c r="A580" i="1" s="1"/>
  <c r="A582" i="1"/>
  <c r="A583" i="1" s="1"/>
  <c r="A585" i="1"/>
  <c r="A586" i="1" s="1"/>
  <c r="A588" i="1"/>
  <c r="A589" i="1" s="1"/>
  <c r="A591" i="1"/>
  <c r="A592" i="1" s="1"/>
  <c r="A594" i="1"/>
  <c r="A595" i="1" s="1"/>
  <c r="A597" i="1"/>
  <c r="A598" i="1" s="1"/>
  <c r="A600" i="1"/>
  <c r="A601" i="1" s="1"/>
  <c r="A603" i="1"/>
  <c r="A604" i="1" s="1"/>
  <c r="A606" i="1"/>
  <c r="A607" i="1" s="1"/>
  <c r="A609" i="1"/>
  <c r="A610" i="1" s="1"/>
  <c r="A612" i="1"/>
  <c r="A613" i="1" s="1"/>
  <c r="A615" i="1"/>
  <c r="A616" i="1" s="1"/>
  <c r="A618" i="1"/>
  <c r="A619" i="1" s="1"/>
  <c r="A621" i="1"/>
  <c r="A622" i="1" s="1"/>
  <c r="A624" i="1"/>
  <c r="A625" i="1" s="1"/>
  <c r="A627" i="1"/>
  <c r="A628" i="1" s="1"/>
  <c r="A630" i="1"/>
  <c r="A631" i="1" s="1"/>
  <c r="A633" i="1"/>
  <c r="A467" i="1"/>
  <c r="A468" i="1" s="1"/>
  <c r="A470" i="1"/>
  <c r="A471" i="1" s="1"/>
  <c r="A473" i="1"/>
  <c r="A474" i="1" s="1"/>
  <c r="A476" i="1"/>
  <c r="A477" i="1" s="1"/>
  <c r="A479" i="1"/>
  <c r="A480" i="1" s="1"/>
  <c r="A482" i="1"/>
  <c r="A483" i="1" s="1"/>
  <c r="A485" i="1"/>
  <c r="A486" i="1" s="1"/>
  <c r="A488" i="1"/>
  <c r="A489" i="1" s="1"/>
  <c r="A491" i="1"/>
  <c r="A492" i="1" s="1"/>
  <c r="A494" i="1"/>
  <c r="A495" i="1" s="1"/>
  <c r="A497" i="1"/>
  <c r="A498" i="1" s="1"/>
  <c r="A500" i="1"/>
  <c r="A501" i="1" s="1"/>
  <c r="A503" i="1"/>
  <c r="A504" i="1" s="1"/>
  <c r="A506" i="1"/>
  <c r="A507" i="1" s="1"/>
  <c r="A509" i="1"/>
  <c r="A510" i="1" s="1"/>
  <c r="A516" i="1"/>
  <c r="A517" i="1" s="1"/>
  <c r="P512" i="1"/>
  <c r="O512" i="1"/>
  <c r="N470" i="1"/>
  <c r="N512" i="1" s="1"/>
  <c r="A464" i="1"/>
  <c r="A465" i="1" s="1"/>
  <c r="D100" i="3" l="1"/>
  <c r="D102" i="3"/>
  <c r="D104" i="3" s="1"/>
  <c r="O326" i="1"/>
  <c r="N267" i="1" l="1"/>
  <c r="N264" i="1"/>
  <c r="N263" i="1"/>
  <c r="N262" i="1"/>
  <c r="N261" i="1"/>
  <c r="N186" i="1"/>
  <c r="M186" i="1"/>
  <c r="O241" i="1"/>
  <c r="O240" i="1"/>
  <c r="O244" i="1"/>
  <c r="O243" i="1"/>
  <c r="O239" i="1"/>
  <c r="N185" i="1"/>
  <c r="N184" i="1"/>
  <c r="N182" i="1"/>
  <c r="O198" i="1"/>
  <c r="N181" i="1"/>
  <c r="O213" i="1"/>
  <c r="O209" i="1"/>
  <c r="N180" i="1"/>
  <c r="O237" i="1"/>
  <c r="O236" i="1"/>
  <c r="N178" i="1"/>
  <c r="N177" i="1"/>
  <c r="O234" i="1"/>
  <c r="O231" i="1"/>
  <c r="N174" i="1"/>
  <c r="N170" i="1"/>
  <c r="O230" i="1"/>
  <c r="O227" i="1"/>
  <c r="O226" i="1"/>
  <c r="N166" i="1"/>
  <c r="N165" i="1"/>
  <c r="O225" i="1"/>
  <c r="O202" i="1"/>
  <c r="N133" i="1"/>
  <c r="O224" i="1"/>
  <c r="O223" i="1"/>
  <c r="O220" i="1"/>
  <c r="N162" i="1"/>
  <c r="N161" i="1"/>
  <c r="O218" i="1"/>
  <c r="N157" i="1"/>
  <c r="N156" i="1"/>
  <c r="N121" i="1"/>
  <c r="N110" i="1"/>
  <c r="N275" i="1" l="1"/>
  <c r="O275" i="1"/>
</calcChain>
</file>

<file path=xl/comments1.xml><?xml version="1.0" encoding="utf-8"?>
<comments xmlns="http://schemas.openxmlformats.org/spreadsheetml/2006/main">
  <authors>
    <author>jogja</author>
  </authors>
  <commentList>
    <comment ref="N286" authorId="0" shapeId="0">
      <text>
        <r>
          <rPr>
            <b/>
            <sz val="9"/>
            <color indexed="81"/>
            <rFont val="Tahoma"/>
            <family val="2"/>
          </rPr>
          <t>jogja:</t>
        </r>
        <r>
          <rPr>
            <sz val="9"/>
            <color indexed="81"/>
            <rFont val="Tahoma"/>
            <family val="2"/>
          </rPr>
          <t xml:space="preserve">
rajut 3 jt
RKB 5 jt
pawon gtro 10 jt</t>
        </r>
      </text>
    </comment>
    <comment ref="N287" authorId="0" shapeId="0">
      <text>
        <r>
          <rPr>
            <b/>
            <sz val="9"/>
            <color indexed="81"/>
            <rFont val="Tahoma"/>
            <family val="2"/>
          </rPr>
          <t>jogja:</t>
        </r>
        <r>
          <rPr>
            <sz val="9"/>
            <color indexed="81"/>
            <rFont val="Tahoma"/>
            <family val="2"/>
          </rPr>
          <t xml:space="preserve">
utk skil pengurus 2,5 jt
utk sosialisasi 6 jt</t>
        </r>
      </text>
    </comment>
    <comment ref="N288" authorId="0" shapeId="0">
      <text>
        <r>
          <rPr>
            <b/>
            <sz val="9"/>
            <color indexed="81"/>
            <rFont val="Tahoma"/>
            <family val="2"/>
          </rPr>
          <t>jogja:</t>
        </r>
        <r>
          <rPr>
            <sz val="9"/>
            <color indexed="81"/>
            <rFont val="Tahoma"/>
            <family val="2"/>
          </rPr>
          <t xml:space="preserve">
bregodo 21 jt
lestari budoyo 40 jt</t>
        </r>
      </text>
    </comment>
    <comment ref="N305" authorId="0" shapeId="0">
      <text>
        <r>
          <rPr>
            <b/>
            <sz val="9"/>
            <color indexed="81"/>
            <rFont val="Tahoma"/>
            <family val="2"/>
          </rPr>
          <t>jogja:</t>
        </r>
        <r>
          <rPr>
            <sz val="9"/>
            <color indexed="81"/>
            <rFont val="Tahoma"/>
            <family val="2"/>
          </rPr>
          <t xml:space="preserve">
pondok 3 jt
krisna 3 jt</t>
        </r>
      </text>
    </comment>
    <comment ref="O305" authorId="0" shapeId="0">
      <text>
        <r>
          <rPr>
            <b/>
            <sz val="9"/>
            <color indexed="81"/>
            <rFont val="Tahoma"/>
            <family val="2"/>
          </rPr>
          <t>jogja:</t>
        </r>
        <r>
          <rPr>
            <sz val="9"/>
            <color indexed="81"/>
            <rFont val="Tahoma"/>
            <family val="2"/>
          </rPr>
          <t xml:space="preserve">
pondok 3 jt
krisna 3 jt</t>
        </r>
      </text>
    </comment>
    <comment ref="N308" authorId="0" shapeId="0">
      <text>
        <r>
          <rPr>
            <b/>
            <sz val="9"/>
            <color indexed="81"/>
            <rFont val="Tahoma"/>
            <family val="2"/>
          </rPr>
          <t>jogja:</t>
        </r>
        <r>
          <rPr>
            <sz val="9"/>
            <color indexed="81"/>
            <rFont val="Tahoma"/>
            <family val="2"/>
          </rPr>
          <t xml:space="preserve">
remaja 1,5 jt
stunting 1,5 jt
KEK 1,5 JT
ASI exklusif 1,5 jt</t>
        </r>
      </text>
    </comment>
    <comment ref="O308" authorId="0" shapeId="0">
      <text>
        <r>
          <rPr>
            <b/>
            <sz val="9"/>
            <color indexed="81"/>
            <rFont val="Tahoma"/>
            <family val="2"/>
          </rPr>
          <t>jogja:</t>
        </r>
        <r>
          <rPr>
            <sz val="9"/>
            <color indexed="81"/>
            <rFont val="Tahoma"/>
            <family val="2"/>
          </rPr>
          <t xml:space="preserve">
remaja 1,5 jt
stunting 1,5 jt
KEK 1,5 JT
ASI exklusif 1,5 jt</t>
        </r>
      </text>
    </comment>
    <comment ref="N315" authorId="0" shapeId="0">
      <text>
        <r>
          <rPr>
            <b/>
            <sz val="9"/>
            <color indexed="81"/>
            <rFont val="Tahoma"/>
            <family val="2"/>
          </rPr>
          <t>jogja:</t>
        </r>
        <r>
          <rPr>
            <sz val="9"/>
            <color indexed="81"/>
            <rFont val="Tahoma"/>
            <family val="2"/>
          </rPr>
          <t xml:space="preserve">
RW 1 15 JT
RW 2 8 JT
RW 3 15 JT </t>
        </r>
      </text>
    </comment>
    <comment ref="O315" authorId="0" shapeId="0">
      <text>
        <r>
          <rPr>
            <b/>
            <sz val="9"/>
            <color indexed="81"/>
            <rFont val="Tahoma"/>
            <family val="2"/>
          </rPr>
          <t>jogja:</t>
        </r>
        <r>
          <rPr>
            <sz val="9"/>
            <color indexed="81"/>
            <rFont val="Tahoma"/>
            <family val="2"/>
          </rPr>
          <t xml:space="preserve">
RW 1 15 JT
RW 2 8 JT
RW 3 15 JT </t>
        </r>
      </text>
    </comment>
    <comment ref="O336" authorId="0" shapeId="0">
      <text>
        <r>
          <rPr>
            <b/>
            <sz val="9"/>
            <color indexed="81"/>
            <rFont val="Tahoma"/>
            <family val="2"/>
          </rPr>
          <t>jogja:</t>
        </r>
        <r>
          <rPr>
            <sz val="9"/>
            <color indexed="81"/>
            <rFont val="Tahoma"/>
            <family val="2"/>
          </rPr>
          <t xml:space="preserve">
RW 4 8 jt
RW 3 20 JT
</t>
        </r>
      </text>
    </comment>
  </commentList>
</comments>
</file>

<file path=xl/sharedStrings.xml><?xml version="1.0" encoding="utf-8"?>
<sst xmlns="http://schemas.openxmlformats.org/spreadsheetml/2006/main" count="10802" uniqueCount="3538">
  <si>
    <t>No
Urut</t>
  </si>
  <si>
    <r>
      <rPr>
        <b/>
        <sz val="8"/>
        <color theme="1"/>
        <rFont val="Calibri"/>
      </rPr>
      <t xml:space="preserve">Kode Usulan </t>
    </r>
    <r>
      <rPr>
        <i/>
        <sz val="8"/>
        <color theme="1"/>
        <rFont val="Calibri"/>
      </rPr>
      <t>(sesuai kamus usulan)</t>
    </r>
  </si>
  <si>
    <r>
      <rPr>
        <b/>
        <sz val="11"/>
        <color theme="1"/>
        <rFont val="Calibri"/>
      </rPr>
      <t xml:space="preserve">Usulan Kegiatan/Permasalahan
</t>
    </r>
    <r>
      <rPr>
        <i/>
        <sz val="11"/>
        <color theme="1"/>
        <rFont val="Calibri"/>
      </rPr>
      <t>(sesuai kamus usulan)</t>
    </r>
  </si>
  <si>
    <t>Penjabaran Permasalahan</t>
  </si>
  <si>
    <t>Manfaat yang Didapatkan Masyarakat</t>
  </si>
  <si>
    <t xml:space="preserve">Kelompok Sasaran </t>
  </si>
  <si>
    <r>
      <rPr>
        <b/>
        <sz val="11"/>
        <color theme="1"/>
        <rFont val="Calibri"/>
      </rPr>
      <t xml:space="preserve">Lokasi 
</t>
    </r>
    <r>
      <rPr>
        <i/>
        <sz val="9"/>
        <color theme="1"/>
        <rFont val="Calibri"/>
      </rPr>
      <t>(Alamat jelas dan lengkap)</t>
    </r>
    <r>
      <rPr>
        <sz val="9"/>
        <color theme="1"/>
        <rFont val="Calibri"/>
      </rPr>
      <t xml:space="preserve">
</t>
    </r>
  </si>
  <si>
    <t>Volume beserta satuan</t>
  </si>
  <si>
    <t>PEMBIAYAAN (Rp)</t>
  </si>
  <si>
    <t>Nama PD/
Unit Kerja</t>
  </si>
  <si>
    <r>
      <rPr>
        <b/>
        <sz val="11"/>
        <color theme="1"/>
        <rFont val="Calibri"/>
      </rPr>
      <t xml:space="preserve">Uraian Kelompok Penerima Manfaat 
</t>
    </r>
    <r>
      <rPr>
        <i/>
        <sz val="9"/>
        <color theme="1"/>
        <rFont val="Calibri"/>
      </rPr>
      <t>(Diisi deskripsinya)</t>
    </r>
  </si>
  <si>
    <t>M</t>
  </si>
  <si>
    <t>D</t>
  </si>
  <si>
    <t>A</t>
  </si>
  <si>
    <t>P</t>
  </si>
  <si>
    <t>L</t>
  </si>
  <si>
    <t>Kelurahan</t>
  </si>
  <si>
    <t>Perangkat Daerah
(termasuk Kemantren)</t>
  </si>
  <si>
    <t>Lain-lain</t>
  </si>
  <si>
    <t>diisi dengan dicentang</t>
  </si>
  <si>
    <t>(1)</t>
  </si>
  <si>
    <t>(2)</t>
  </si>
  <si>
    <t>(3)</t>
  </si>
  <si>
    <t>(4)</t>
  </si>
  <si>
    <t>(5)</t>
  </si>
  <si>
    <t>(6)</t>
  </si>
  <si>
    <t>(7)</t>
  </si>
  <si>
    <t>(8)</t>
  </si>
  <si>
    <t>(9)</t>
  </si>
  <si>
    <t>(10)</t>
  </si>
  <si>
    <t>(11)</t>
  </si>
  <si>
    <t>(12)</t>
  </si>
  <si>
    <t>(13)</t>
  </si>
  <si>
    <t>(14)</t>
  </si>
  <si>
    <t>(15)</t>
  </si>
  <si>
    <t>(16)</t>
  </si>
  <si>
    <t>(17)</t>
  </si>
  <si>
    <t>I. USULAN STRATEGIS</t>
  </si>
  <si>
    <t>dst</t>
  </si>
  <si>
    <t>II. USULAN UTAMA</t>
  </si>
  <si>
    <t>III. USULAN PENDUKUNG</t>
  </si>
  <si>
    <t>IV. USULAN OPERASIONAL</t>
  </si>
  <si>
    <t>Form 3. REKAPITULASI PRIORITAS USULAN KEGIATAN KEMANTREN GONDOKUSUMAN</t>
  </si>
  <si>
    <t>Kelurahan Demangan</t>
  </si>
  <si>
    <t>26.22</t>
  </si>
  <si>
    <t>(Kelurahan Demangan) Usulan strategis</t>
  </si>
  <si>
    <t>Pembuatan jalur sepeda untuk mendukung kesehatan dan perekonomian masyarakat</t>
  </si>
  <si>
    <t>Terdapat jalur sepeda sebagai salahsatu infrastruktur wisata dan kesehatan warga</t>
  </si>
  <si>
    <t>seluruh masyarakat kelurahan, khususnya UMKM terkait wisata sepeda dan kesehatan warga</t>
  </si>
  <si>
    <t>v</t>
  </si>
  <si>
    <t>Jalur Sepeda Kelurahan Demangan</t>
  </si>
  <si>
    <t>1 kawasan</t>
  </si>
  <si>
    <t xml:space="preserve">Kemantren </t>
  </si>
  <si>
    <t>[Kelurahan Demangan] Pelatihan Kerajinan di wilayah</t>
  </si>
  <si>
    <t>Pelatihan Batik Pewarna Alam, Ecoprint</t>
  </si>
  <si>
    <t>Menambah keterampilan anggota</t>
  </si>
  <si>
    <t>Masyarakat, Anggota &amp; Pengurus PKK</t>
  </si>
  <si>
    <t>25 orang x 2 kali</t>
  </si>
  <si>
    <t>Kemantren Gondokusuman</t>
  </si>
  <si>
    <t>Pelatihan  Karawitan</t>
  </si>
  <si>
    <t xml:space="preserve">Latihan Rutin </t>
  </si>
  <si>
    <t>Menunjang kemampuan tampil</t>
  </si>
  <si>
    <t>Anggota EKO MANUNGGAL</t>
  </si>
  <si>
    <t>Balai RW 08</t>
  </si>
  <si>
    <t>20 Orang x 48 kali</t>
  </si>
  <si>
    <t>Simulasi Gempa KTB SAPEN</t>
  </si>
  <si>
    <t>Membangun kesadaran masyarakat terhadap ancaman Gempa</t>
  </si>
  <si>
    <t>Siap menghadapi Bencana</t>
  </si>
  <si>
    <t xml:space="preserve">Masyarakat dan Anggota KTB </t>
  </si>
  <si>
    <t>Kampung SAPEN</t>
  </si>
  <si>
    <t>100 orang x 2 kali</t>
  </si>
  <si>
    <t>Pelatihan Pengunaan alat KTB SAPEN</t>
  </si>
  <si>
    <t>Pelatihan pengunaan senso,sedot air,ht dan tali</t>
  </si>
  <si>
    <t>Siap dan Tanggap dalam menghadapi bencana</t>
  </si>
  <si>
    <t>Anggota KTB Sapen</t>
  </si>
  <si>
    <t>RT 23</t>
  </si>
  <si>
    <t>30 Orang</t>
  </si>
  <si>
    <t>19.10</t>
  </si>
  <si>
    <t>Pelatihan Membatik</t>
  </si>
  <si>
    <t>Pelatihan Batik Tulis</t>
  </si>
  <si>
    <t>Mendukung program kampung Inggris</t>
  </si>
  <si>
    <t>Masyarakat KAMPUNG SAPEN</t>
  </si>
  <si>
    <t>20 Orang x 4 kali</t>
  </si>
  <si>
    <t>Pelatihan Bahasa Inggris</t>
  </si>
  <si>
    <t>Khursus Bahasa Inggris</t>
  </si>
  <si>
    <t>Bisa Berbahasa Inggris</t>
  </si>
  <si>
    <t>Warga RW 08</t>
  </si>
  <si>
    <t xml:space="preserve">25 Orang </t>
  </si>
  <si>
    <t>2.500.000</t>
  </si>
  <si>
    <t>Bimtek Tanaman Toga</t>
  </si>
  <si>
    <t>Cara menanam tanaman Toga dan sarana prasarananya</t>
  </si>
  <si>
    <t>Masyarakat Sehat</t>
  </si>
  <si>
    <t>20 Orang</t>
  </si>
  <si>
    <t>5.000.000</t>
  </si>
  <si>
    <t>Bimtek Ecoprint</t>
  </si>
  <si>
    <t>Pelatihan membuat Ecoprint dan sarana prasarananya</t>
  </si>
  <si>
    <t>Masyarakat kreatif</t>
  </si>
  <si>
    <t>50 Orang</t>
  </si>
  <si>
    <t>Pengolahan Pangan</t>
  </si>
  <si>
    <t>Workshop olhan pangan</t>
  </si>
  <si>
    <t>Meningkatkan penghasilan keluarga</t>
  </si>
  <si>
    <t>2.000.000</t>
  </si>
  <si>
    <t>[Kelurahan Demangan] Pelatihan Manajeman UMKM di wilayah</t>
  </si>
  <si>
    <t>Pelatihan pengepakkan jajanan dan makanan</t>
  </si>
  <si>
    <t>Menambah kreatifitas pelaku usaha</t>
  </si>
  <si>
    <t>Masyarakat, pelaku usaha</t>
  </si>
  <si>
    <t>20 orang</t>
  </si>
  <si>
    <t>Bimbingan Teknis dan
Pelatihan Pertanian</t>
  </si>
  <si>
    <t>Pembuatan Lorong sayur</t>
  </si>
  <si>
    <t>Adanya kegiatan yang positif untuk masyarakat dan menambah income bagi warga</t>
  </si>
  <si>
    <t>Kelompok tani dan warga masyarakat RW 01</t>
  </si>
  <si>
    <t>RT 1, RT 2, dan RT 3</t>
  </si>
  <si>
    <t>Bimtek
sayur: 8.000.000;</t>
  </si>
  <si>
    <t>Dinas Pertanian dan Pangan</t>
  </si>
  <si>
    <t>Pembuatan Hidroponik</t>
  </si>
  <si>
    <t xml:space="preserve">Bimtek
hidroponik :
8.000.000; </t>
  </si>
  <si>
    <t>Pembentukan Kampung Tangguh Bencana (KTB)</t>
  </si>
  <si>
    <t>disaat terjadi suatu kedaruratan baik yg menyangkut musibah maupun bencana, warga/KTB dapat segera melakukan penanganan/evakuasi</t>
  </si>
  <si>
    <t>Warga RW 01,RW 02,dan RW 03</t>
  </si>
  <si>
    <t>RW 01,02,03</t>
  </si>
  <si>
    <t>Pelatihan Cake and
Pastry tingkat kota</t>
  </si>
  <si>
    <t>menambah pendapatan masyarakat terutama masyarakat ekonomi lemah</t>
  </si>
  <si>
    <t>pengentasan kemiskinan di wilayah</t>
  </si>
  <si>
    <t>warga RW 02,terutama warga kurang mampu</t>
  </si>
  <si>
    <t>RW 02</t>
  </si>
  <si>
    <t>Rp.2,875,000 per orang</t>
  </si>
  <si>
    <t>[Kelurahan Demangan] Pelatihan Pertanian Perkotaan di wilayah</t>
  </si>
  <si>
    <t>Pelatihan Budidaya sayuran Hidroponik</t>
  </si>
  <si>
    <t>Untuk memenuhi kebutuhan sayur diwilayah dan juga untuk meningkatkan ekonomi lingkungan</t>
  </si>
  <si>
    <t>KTD Lombok Ijo dan warga RW 04</t>
  </si>
  <si>
    <t>RW 04,KTD lombok ijo</t>
  </si>
  <si>
    <t>Kemantren</t>
  </si>
  <si>
    <t>Bimbingan Teknis dan Pelatihan Pertanian</t>
  </si>
  <si>
    <t>Pengadaan Sarana Budidaya Sayur Hidroponik</t>
  </si>
  <si>
    <t>Perencanaan, pengadaan dan pemeliharaan sarana dan prasarana pengelolaan persampahan</t>
  </si>
  <si>
    <t xml:space="preserve">Pelatihan pembuatan pupuk kompos dari daun </t>
  </si>
  <si>
    <t>Menjadikan lingkungan lebih bersih dan juga sebagai sumber suplay  pupuk untuk KTD lombok ijo maupun warga RW 04</t>
  </si>
  <si>
    <t>Warga RW 04,KTD lombok ijo</t>
  </si>
  <si>
    <t>RW 04</t>
  </si>
  <si>
    <t>13.19</t>
  </si>
  <si>
    <t>[Kelurahan demangan] Pelatihan Manajemen UMKM di wilayah</t>
  </si>
  <si>
    <t>Pelatihan promosi online, pembuatan konten, foto dan video sederhana dari HP hingga mengunggah ke marketplace</t>
  </si>
  <si>
    <t>Mempermudah masyarakat mempromosikan produknya lewat media sosial dan korporasi</t>
  </si>
  <si>
    <t>warga masyarakat pelaku usaha UMKM</t>
  </si>
  <si>
    <t>[Kelurahan Demangan] Pelatihan Budaya yang bersifat Rutin di wilayah</t>
  </si>
  <si>
    <t>Pelatihan dengan tujuan pembinaan budaya yang ada di masyarakat dan sudah dilaksanakan secara rutin</t>
  </si>
  <si>
    <t>Melestarikan seni dan budaya lokal pelatihan baca tulis aksara Jawa</t>
  </si>
  <si>
    <t>Masyarakat terutama pelaku seni di wilayah</t>
  </si>
  <si>
    <t>RW 11</t>
  </si>
  <si>
    <t>13.16'</t>
  </si>
  <si>
    <t>Pelatihan dengan maksud meningkatkan kapasitas masyarakat dalam pengelolaan pertanian perkotaan untuk sayur dan buah</t>
  </si>
  <si>
    <t>Memanfaatkan lahan kosong untuk sayur dan buah sebagai sumber pangan</t>
  </si>
  <si>
    <t>Masyarakat</t>
  </si>
  <si>
    <t>RT 40, RW 11</t>
  </si>
  <si>
    <t>Pelatihan Social Media Marketing</t>
  </si>
  <si>
    <t>Pelaku usaha masih kesulitan dalam marketing secara online</t>
  </si>
  <si>
    <t>Tujuan pelatihan agar peserta dapat melakukan pemasaran secara online &amp; menggunakan media sosial yang ada</t>
  </si>
  <si>
    <t>Masyarakat terutama pelaku usaha</t>
  </si>
  <si>
    <t>Dinas Perindustrian Koperasi UKM</t>
  </si>
  <si>
    <t>20 org</t>
  </si>
  <si>
    <t xml:space="preserve">pengadaan sarana peralatan hidroponik </t>
  </si>
  <si>
    <t>KTB yang sudah terbentuk kurang efektif karena kampung Demangan terbagi ruas jl. protokol jl. Solo, faktor kepadatan penduduk  juga ikut mempengaruhi terutama bila  terjadi suatu kejadian akan terdapat kendala</t>
  </si>
  <si>
    <t>20 orang x 12 kali</t>
  </si>
  <si>
    <t xml:space="preserve"> 20 Orang</t>
  </si>
  <si>
    <t>Bimtek PAUD</t>
  </si>
  <si>
    <t>Peningkatan SDM Pengurus PAUD</t>
  </si>
  <si>
    <t>Bisa mengakses DAPODIK</t>
  </si>
  <si>
    <t>Pengurus PAUD</t>
  </si>
  <si>
    <t>30 Orang x 3 kali</t>
  </si>
  <si>
    <t>Dinas Pendidikan Pemuda dan Olahraga</t>
  </si>
  <si>
    <t>Pelatihan pengelolaan sampah</t>
  </si>
  <si>
    <t>Pelatihan bagi pengurus bank sampah</t>
  </si>
  <si>
    <t>Menguasai teknik pengelolahan sampah</t>
  </si>
  <si>
    <t>Pengurus bank sampah</t>
  </si>
  <si>
    <t>Kegiatan Lansia</t>
  </si>
  <si>
    <t>kegiatan rutin dan pengadaan alat kesehatan</t>
  </si>
  <si>
    <t>memantau kesehatan Lansia</t>
  </si>
  <si>
    <t xml:space="preserve">Masyarakat </t>
  </si>
  <si>
    <t>60 Orang x 2 kali</t>
  </si>
  <si>
    <t>Dinas Kesehatan</t>
  </si>
  <si>
    <t>Peningkatan Jaga warga</t>
  </si>
  <si>
    <t xml:space="preserve">kegiatan rutin </t>
  </si>
  <si>
    <t>kerukunan warga</t>
  </si>
  <si>
    <t>Pengurus Jaga Warga</t>
  </si>
  <si>
    <t>15 Orang x 12 kali</t>
  </si>
  <si>
    <t>Kader Anti Narkoba</t>
  </si>
  <si>
    <t>Pelatihan dan sosialisasi Pemberantasan Narkoba</t>
  </si>
  <si>
    <t>Menyadarkan Masyarakat Bahaya Narkoba</t>
  </si>
  <si>
    <t xml:space="preserve">30 Orang </t>
  </si>
  <si>
    <t>Kegiatan Lansia RW 06</t>
  </si>
  <si>
    <t>Pertemuan Rutin</t>
  </si>
  <si>
    <t>Memantau kesehatan Lansia</t>
  </si>
  <si>
    <t>Lansia</t>
  </si>
  <si>
    <t>RW 06</t>
  </si>
  <si>
    <t>30 Orang x 12 kali</t>
  </si>
  <si>
    <t>PJU</t>
  </si>
  <si>
    <t>Pemeliharaan dan pemasangan baru</t>
  </si>
  <si>
    <t>Keamanan dan kenyamanan warga</t>
  </si>
  <si>
    <t>RT 21</t>
  </si>
  <si>
    <t>5 unit</t>
  </si>
  <si>
    <t>DPUPKP</t>
  </si>
  <si>
    <t>Pendampingan Pos Yandu balita</t>
  </si>
  <si>
    <t>Pengadaan PMT Balita</t>
  </si>
  <si>
    <t>Memantau kesehatan Balita</t>
  </si>
  <si>
    <t>Balita</t>
  </si>
  <si>
    <t>20 Anak x 48 kali</t>
  </si>
  <si>
    <t>Penumbuhan
Kampung Panca Tertib</t>
  </si>
  <si>
    <t>Penyuluhan Pola Asuh Anak/Remaja</t>
  </si>
  <si>
    <t xml:space="preserve">Menambah pemahaman pengurus, anggota, serta masyarakat </t>
  </si>
  <si>
    <t>Kader PKK</t>
  </si>
  <si>
    <t>25 orang</t>
  </si>
  <si>
    <t>Parenting Kebangsaan</t>
  </si>
  <si>
    <t>Menambah rasa nasionalisme bagi generasi muda</t>
  </si>
  <si>
    <t>Ketua PKK RW, BKB, BKR</t>
  </si>
  <si>
    <t>1 kali</t>
  </si>
  <si>
    <t>Penyuluhan tentang
kesehatan Usia
Produktif</t>
  </si>
  <si>
    <t>Sosialisasi Penundaan Pernikahan Usia Dini</t>
  </si>
  <si>
    <t>Mensosialisasikan UU pernikahan dan kesehatan reproduksi</t>
  </si>
  <si>
    <t>Ketua PKK RW, Karang Taruna</t>
  </si>
  <si>
    <t>1 kegiatan, 1 kali, 30 orang</t>
  </si>
  <si>
    <t>Pembinaan Kelompok UP2K</t>
  </si>
  <si>
    <t>Meningkatkan pendapatan</t>
  </si>
  <si>
    <t>Anggota UP2K</t>
  </si>
  <si>
    <t>[Kelurahan Demangan] Monev Kegiatan PAUD di wilayah; Gebyar PAUD di wilayah</t>
  </si>
  <si>
    <t xml:space="preserve">Gebyar PAUD </t>
  </si>
  <si>
    <t>Membuat anak semakin tumbuh rasa percaya diri</t>
  </si>
  <si>
    <t>Anak-anak PAUD</t>
  </si>
  <si>
    <t>100 OS</t>
  </si>
  <si>
    <t>Pelatihan Pembibitan Sayur</t>
  </si>
  <si>
    <t>Pemanfaatan lahan</t>
  </si>
  <si>
    <t>Anggota Poktan, Masyarakat</t>
  </si>
  <si>
    <t>40 orang</t>
  </si>
  <si>
    <t>[Kelurahan Demangan] Pelatihan Kesehatan Berbasis Masyarakat
di wilayah</t>
  </si>
  <si>
    <t>Pelatihan membuat olahan makanan dari ikan</t>
  </si>
  <si>
    <t>Meningkatkan gizi keluarga dan ekonomi</t>
  </si>
  <si>
    <t>Ketua PKK RW, anggota Pokja 3</t>
  </si>
  <si>
    <t>Pelatihan menyusun menu sehat untuk bumil dan balita</t>
  </si>
  <si>
    <t>Menambah pengetahuan kesehatan bagi para ibu hamil dan pengurus</t>
  </si>
  <si>
    <t>Masyarakat, Pokja 3</t>
  </si>
  <si>
    <t>30 orang</t>
  </si>
  <si>
    <t>Pembinaan Hatinya PKK</t>
  </si>
  <si>
    <t>Memanfaatkan lokasi sempit perkotaan</t>
  </si>
  <si>
    <t>Masyarakat dan TP PKK Kelurahan</t>
  </si>
  <si>
    <t>Pemberian Makanan
Tambahan Pemulihan
bagi Balita Gizi
Kurang/Buruk/Stunting,
Penyuluhan tentang
gizi</t>
  </si>
  <si>
    <t>Program makanan tambahan</t>
  </si>
  <si>
    <t>Posyandu Sere 1-12</t>
  </si>
  <si>
    <t>Penyuluhan kesehatan PHBS</t>
  </si>
  <si>
    <t>Meningkatkan kesehatan masyarakat</t>
  </si>
  <si>
    <t>Masyarakat , Pokja 4</t>
  </si>
  <si>
    <t>30 orang x 2 kali</t>
  </si>
  <si>
    <t>Pelatihan kader kesehatan</t>
  </si>
  <si>
    <t>Peningkatan kemampuan kader</t>
  </si>
  <si>
    <t>Masyarakat, Pokja 4</t>
  </si>
  <si>
    <t>[Kelurahan Demangan] Pengadaan Tensi Meter di wilayah</t>
  </si>
  <si>
    <t>Pengadaan tensi meter</t>
  </si>
  <si>
    <t>Menambah giat pengurus</t>
  </si>
  <si>
    <t>Posbindu</t>
  </si>
  <si>
    <t>15 unit x 680.000</t>
  </si>
  <si>
    <t>[Kelurahan Demangan] Pengadaan Timbangan Digital di wilayah</t>
  </si>
  <si>
    <t>Pengadaan timbangan</t>
  </si>
  <si>
    <t>25 unit x 300000</t>
  </si>
  <si>
    <t>Sarasehan ibu usia produktif mengenai tumbuh kembang dan autisme pada anak</t>
  </si>
  <si>
    <t>Menambah pengetahuan orang tua balita yang mengidap autis</t>
  </si>
  <si>
    <t>[Kelurahan Demangan] Pelatihan pengolahan MPASI untuk pencegahan stunting di wilayah</t>
  </si>
  <si>
    <t>Workshop stunting</t>
  </si>
  <si>
    <t>Meningkatkan pengetahuan kader dan masyarakat</t>
  </si>
  <si>
    <t>Masyarakat, kader</t>
  </si>
  <si>
    <t>30 OS</t>
  </si>
  <si>
    <t>[Kelurahan Demangan] Pelatihan Budaya untuk peningkatan
kapasitas di wilayah</t>
  </si>
  <si>
    <t>sarasehan PATBM olahraga tradisional</t>
  </si>
  <si>
    <t>Meningkatkan pengetahuan anggota serta masyarakat</t>
  </si>
  <si>
    <t xml:space="preserve">Masyarakat, Pengurus, Anggota PATBM </t>
  </si>
  <si>
    <t>30 orang x 1 kali</t>
  </si>
  <si>
    <t>Pengembangan
Kampung Keluarga
Berencana (KB)</t>
  </si>
  <si>
    <t>Penyuluhan kenakalan remaja</t>
  </si>
  <si>
    <t>Mengurangi tingkat kenakalan pada remaja</t>
  </si>
  <si>
    <t>PIK R, pengurus, anggota PATBM</t>
  </si>
  <si>
    <t>DP3AP2KB</t>
  </si>
  <si>
    <t>Tamanisasi atau pembuatan tabulampot</t>
  </si>
  <si>
    <t>Penghijauan ragam buah dan sayuran untuk warga</t>
  </si>
  <si>
    <t>Masyarakat, pengurus, anggota BS</t>
  </si>
  <si>
    <t>2 kali</t>
  </si>
  <si>
    <t>Pengadaan timbangan sampah</t>
  </si>
  <si>
    <t>Sarana meningkatkan fasilitasi bank sampah</t>
  </si>
  <si>
    <t>14 bank sampah</t>
  </si>
  <si>
    <t>14 unit</t>
  </si>
  <si>
    <t xml:space="preserve">Pengadaan tas pilah dan pot hias </t>
  </si>
  <si>
    <t>menciptakan lingkungan yang bersih dan asri</t>
  </si>
  <si>
    <t>420 unit</t>
  </si>
  <si>
    <t>Pembelian tensi meter digital</t>
  </si>
  <si>
    <t>peserta senam kebih terkontrol kesehatannya</t>
  </si>
  <si>
    <t>Peserta klub jantung sehat 12 RW</t>
  </si>
  <si>
    <t>1 unit</t>
  </si>
  <si>
    <t>Sosialisasi kesehatan jiwa bagi lansia</t>
  </si>
  <si>
    <t>Kesehatan jiwa lansia lebih sehat</t>
  </si>
  <si>
    <t>Komisi Lansia</t>
  </si>
  <si>
    <t>penyuluhan kesehatan lansia: hipertensi</t>
  </si>
  <si>
    <t>Meningkatkan kesadaran akan kesehatan bagi lansia terutama hipertensi serta langkah-langkah penanganannya</t>
  </si>
  <si>
    <t>Penyuluhan TB</t>
  </si>
  <si>
    <t>Meningkatkan kesadaran serta bahaya TB serta langkah-langkah penanganannya</t>
  </si>
  <si>
    <t>[Kelurahan Demangan] Senam Lansia di wilayah</t>
  </si>
  <si>
    <t>Kegiatan senam lansia</t>
  </si>
  <si>
    <t>Meningkatkan kesehatan  lansia</t>
  </si>
  <si>
    <t>11 kali</t>
  </si>
  <si>
    <t>Study banding ke kampung KB lain</t>
  </si>
  <si>
    <t>Saling bertukar info sehingga dapat menambah wawasan serta ilmu dan menerapkan di kampung KB sendiri</t>
  </si>
  <si>
    <t>Anggota, Pengurus Kampung KB</t>
  </si>
  <si>
    <t>RW 9</t>
  </si>
  <si>
    <t>Penyuluhan rumah sehat lansia</t>
  </si>
  <si>
    <t>Meningkatkan kesadaran akan kesehatan bagi lansia</t>
  </si>
  <si>
    <t>2 kali x 30 orang</t>
  </si>
  <si>
    <t>Jalan sehat lansia</t>
  </si>
  <si>
    <t xml:space="preserve">Meningkatkan kesehatan lansia </t>
  </si>
  <si>
    <t>1 kali x 30 orang</t>
  </si>
  <si>
    <t>Pemeliharaan SAH yang tersambung dengan sistem drainase perkotaan</t>
  </si>
  <si>
    <t>Saluran air yang ada sudah tidak mampu menampung</t>
  </si>
  <si>
    <t>Kelancaran berkendara</t>
  </si>
  <si>
    <t>Seluruh Warga dan pengguna jalan</t>
  </si>
  <si>
    <t>Jalan Noroyono RT 02 RW 01</t>
  </si>
  <si>
    <t>(Kelurahan Demangan) Pembangunan SPAH di wilayah</t>
  </si>
  <si>
    <t>Pembuatan Sumur Resapan Air Hujan</t>
  </si>
  <si>
    <t>Air hujan dapat menjadi cadangan air tanah</t>
  </si>
  <si>
    <t>Seluruh Warga  RT 01, 02 , 03 RW 01</t>
  </si>
  <si>
    <t>Rt 01, Jalan Abiyoso RT 02, dan RT 03  RW 01</t>
  </si>
  <si>
    <t>[Kelurahan Demangan] Peningkatan dan pemeliharaan jalan dengan konstruksi non aspal di wilayah</t>
  </si>
  <si>
    <t>Konblokisasi</t>
  </si>
  <si>
    <t>Warga menjadi nyaman dan aman saat melintas</t>
  </si>
  <si>
    <t>RT 03 RW 01</t>
  </si>
  <si>
    <t>18 m 2</t>
  </si>
  <si>
    <t>Peningkatan PJU Kampung (PJU Lingkungan)</t>
  </si>
  <si>
    <t>Pembangunan PJU baru. Kondisi lingkungan gelap akibat dari kurangnya  kurang penerangan dan rawan tindak kejahatan di malam hari</t>
  </si>
  <si>
    <t>warga dan para pengguna jalan yang melintas akan merasa aman pada saat malam hari karena penerangan yang cukup</t>
  </si>
  <si>
    <t>Jl Perkutut RT 01</t>
  </si>
  <si>
    <t>[Kelurahan Demangan] Pemeliharaan/perawatan ringan Ruang Terbuka Hijau Publik (RTHP) di wilayah</t>
  </si>
  <si>
    <t>Pemelihraan atau perawatan ringan ruang terbuka hijau Taman Depan Makam</t>
  </si>
  <si>
    <t>Meningkatkan Keasrian lingkungan</t>
  </si>
  <si>
    <t xml:space="preserve"> warga RW 01</t>
  </si>
  <si>
    <t>Depan Makam RT 01</t>
  </si>
  <si>
    <t>(Kelurahan Demangan) Pemasangan CCTV di wilayah RW 01</t>
  </si>
  <si>
    <t>Pemasangan CCTV karena wilayah rawan tindak kejahatan</t>
  </si>
  <si>
    <t>pengurus warga RW 01 lebih mudah memantau keamanan wilayah</t>
  </si>
  <si>
    <t>Warga RW 01</t>
  </si>
  <si>
    <t>Wilayah RW 01,RT 01,02,03</t>
  </si>
  <si>
    <t>Pengadaan gerobak sampah dan pengolahan sampah</t>
  </si>
  <si>
    <t>Untuk mengambil sambah rumah tangga</t>
  </si>
  <si>
    <t>Warga RW 02</t>
  </si>
  <si>
    <t xml:space="preserve">Gerobak sampah </t>
  </si>
  <si>
    <t>3.500.000</t>
  </si>
  <si>
    <t>Dinas Lingkungan Hidup</t>
  </si>
  <si>
    <t xml:space="preserve">Pengadaan Tempat sampah /bin </t>
  </si>
  <si>
    <t>Untuk manampung sampah rumah tangga</t>
  </si>
  <si>
    <t>RW02</t>
  </si>
  <si>
    <t>2 unit</t>
  </si>
  <si>
    <t>8.000.000</t>
  </si>
  <si>
    <t>banyak pelaku usaha industri rumah tangga pangan yg blm memiliki PIRT</t>
  </si>
  <si>
    <t>pelaku usaha industri rumsah tangga lebih mudah memperoleh PIRT</t>
  </si>
  <si>
    <t>pelaku usaha industri rumah tangga pangan di wilayah RW 02</t>
  </si>
  <si>
    <t>Pelumpuran Saluran Air Limbah (SAL)</t>
  </si>
  <si>
    <t>Pelumpuran saluran air. Saat musim hujan banyak luapan air dari SAL</t>
  </si>
  <si>
    <t xml:space="preserve">tidak ada luapan dan genangan air hujan </t>
  </si>
  <si>
    <t>319 m</t>
  </si>
  <si>
    <t>Penyambungan Sambungan Rumah dengan kepadatan Rendah</t>
  </si>
  <si>
    <t>Saluran lama sudah rusak, limbah tidak lancar terbuang</t>
  </si>
  <si>
    <t>limbah dapat terbuang ke saluran kota</t>
  </si>
  <si>
    <t>RT 06 RW 02</t>
  </si>
  <si>
    <t>gang rt 06 95 m</t>
  </si>
  <si>
    <t>95 m</t>
  </si>
  <si>
    <t>Peningkatan PJU Lingkungan (PJU Lingkungan Kampung)</t>
  </si>
  <si>
    <t>Jalan jadi terang</t>
  </si>
  <si>
    <t>Pembangunan SAH yang tersambung dengan sistem drainase perkotaan</t>
  </si>
  <si>
    <t xml:space="preserve">Pembuata SAH baru/sudetan. Saluran yang ada sudah tidak mampu menampung </t>
  </si>
  <si>
    <t>air hujan akan mudah mengalir ke saluran kota</t>
  </si>
  <si>
    <t>warga RW 02</t>
  </si>
  <si>
    <t xml:space="preserve">Jl semar-jl hastina </t>
  </si>
  <si>
    <t>Perbaikan tutup SAH. Tutup SAH sudah banyak yang rusak</t>
  </si>
  <si>
    <t>kenyamanan bagi pengguna jalan dan warga sekitar</t>
  </si>
  <si>
    <t>Gang bandes RT 05 RW 02</t>
  </si>
  <si>
    <t>7 buah</t>
  </si>
  <si>
    <t>(Kelurahan Demangan) Pelaksanaan Les Tambahan Mata Pelajaran di wilayah</t>
  </si>
  <si>
    <t>Kesulitan anak anak sekolah dalam mencari les tambahan</t>
  </si>
  <si>
    <t>Meningkatkan rasa keingintahuan</t>
  </si>
  <si>
    <t>JBM kelurahan Demangan</t>
  </si>
  <si>
    <t>Sekrening untuk usia produktif , Pelatihan kader Posbindu, Penyuluhan tentang kesehatan Usia Produkti</t>
  </si>
  <si>
    <t>kurangnya pemahaman warga terutama usia produktif mengenai pentingnya kesehatan dan antisipasi penyakit menular</t>
  </si>
  <si>
    <t>warga usia produktif akan terpantau kesehatannya</t>
  </si>
  <si>
    <t>wara RW 02</t>
  </si>
  <si>
    <t>Penyediaan Wifi di Ruang Publik.</t>
  </si>
  <si>
    <t>Titik yang ada saat ini kurang menjangkau seluruh wilayah</t>
  </si>
  <si>
    <t>Warga RW 03</t>
  </si>
  <si>
    <t>Wilayah RW 03</t>
  </si>
  <si>
    <t>8 titk x 500.000,00</t>
  </si>
  <si>
    <t>[Kelurahan Demangan] Cermin Tikungan di wilayah</t>
  </si>
  <si>
    <t>Pemasangan cermin tikungan. Sering terjadi kejadian yang hampir menyebabkan kecelakaan</t>
  </si>
  <si>
    <t>Lalu lintas menjadi lebih baik</t>
  </si>
  <si>
    <t>3 titik @ 1.500.000,00</t>
  </si>
  <si>
    <t>Perbaiikan SAH. Kondisi tutup sudah rusak</t>
  </si>
  <si>
    <t>Jalan lebih aman untuk dilintasi</t>
  </si>
  <si>
    <t>300 m</t>
  </si>
  <si>
    <t>[Kelurahan  Demangan] Pembangunan SPAH di wilayah</t>
  </si>
  <si>
    <t>Pembuatan sumur resapan. Menggerus tanah sekitar</t>
  </si>
  <si>
    <t>Jalan tanpa genangan dan menjadikan cadangan air tanah</t>
  </si>
  <si>
    <t>2 titik</t>
  </si>
  <si>
    <t>Konblokisasi jalan. Jalan membahayakan jika rusak</t>
  </si>
  <si>
    <t xml:space="preserve">Jalan menjadi lebih aman untuk dilalui </t>
  </si>
  <si>
    <t>Warga RW 03 dan Pengguna jalan</t>
  </si>
  <si>
    <t>60 x 1,5 m2</t>
  </si>
  <si>
    <t>Pengadaan PJU baru agar memberikan penerangan jalan</t>
  </si>
  <si>
    <t>Penerangan jalan menjadi lebih terlihat ketika malam hari</t>
  </si>
  <si>
    <t>RT 07 7 titik, RT 08 7 titik, RT 10 10 titik</t>
  </si>
  <si>
    <t>Pemeliharaan /perbaikan kerusakan jalan sesuai Kepwal Yogyakarta No 71 Th 2018</t>
  </si>
  <si>
    <t xml:space="preserve">Pengaspalan jalan kampung. Kondisi aspal sudah mulai berlubang dan rusak </t>
  </si>
  <si>
    <t>Menjadikan akses yang mudah bagi warga dan memberikan kenyamanan dan keamanan ketika melintasinya</t>
  </si>
  <si>
    <t>Warga RW 04</t>
  </si>
  <si>
    <t>Jl Werkudoro Kolojoyo</t>
  </si>
  <si>
    <t>Pelumpuran Saluran Air Limbah</t>
  </si>
  <si>
    <t>Pembersihan saluran air limbah dari lumpur dan kotoran lainnya</t>
  </si>
  <si>
    <t>Saluran akan kembali lancar dan memberi kenyamanan bagi warga</t>
  </si>
  <si>
    <t>Warga  RT 12 RW 04</t>
  </si>
  <si>
    <t>RT 12 RW 04</t>
  </si>
  <si>
    <t>1 titik</t>
  </si>
  <si>
    <t>[Kelurahan Demangan] Pemeliharaan pos ronda di wilayah</t>
  </si>
  <si>
    <t>Perbaikan ringan pos ronda</t>
  </si>
  <si>
    <t>Menunjang kenyamanan dalam melaksanakan kegiatan ronda</t>
  </si>
  <si>
    <t>Pemberian Makanan Tambahan Pemulihan bagi Balita Gizi Kurang/Buruk/Stunting, Penyuluhan tentang gizi</t>
  </si>
  <si>
    <t>Perbaikan angka gizi yang perlu di penuhi</t>
  </si>
  <si>
    <t>Memberikan gizi dan menjadikan tumbuh kembang tidak terganggu</t>
  </si>
  <si>
    <t>Pembangunan titik PJU di jalan Lingkungan jalan gang RT 12,13,14. Kondisi penerangan kurang</t>
  </si>
  <si>
    <t>Saat malam hari lingkungan jl.gang tidak lagi gelap,warga akan merasa nyaman</t>
  </si>
  <si>
    <t>warga RW 04</t>
  </si>
  <si>
    <t>RT 12,RT 13,RT 14  RW 04</t>
  </si>
  <si>
    <t>[Kelurahan Demangan] Pemeliharaan SAH di wilayah</t>
  </si>
  <si>
    <t>Perbaikan kerusakan dan penutupan SAH. Kondisi saluran lama yang sudah rusak dan ambles serta sering mampet saat musim hujan</t>
  </si>
  <si>
    <t>Saluran air hujan akan lancar serta langsung tersambung dengan sistem drainasi perkotaan</t>
  </si>
  <si>
    <t xml:space="preserve">42 m2 </t>
  </si>
  <si>
    <t>(Kelurahan Demangan)Peningkatan dan pemeliharaan jalan dengan konstruksi non aspal di wilayah</t>
  </si>
  <si>
    <t>Penggantian konblok. Keadaan konblok yang sudah rusak</t>
  </si>
  <si>
    <t xml:space="preserve">warga dan pengguna jalan akan merasa nyaman </t>
  </si>
  <si>
    <t>Lebar 2,5 m panjang 30 m</t>
  </si>
  <si>
    <t>[Kelurahan Demangan] Pengolahan Sampah Organik : Pembuatan Demplot Magot (Black Soldier Fly) di wilayah</t>
  </si>
  <si>
    <t>Rehab Kandang Pembesaran,atap rusak,lantai  masih tanah banjir saat musim hujan. Mengurangi jumlah sampah yang di buang ke TPS</t>
  </si>
  <si>
    <t>Lingkungan menjadi bersih dan sebagai sumber pakan tambahan untuk kegiatan peternakan dan perikanan</t>
  </si>
  <si>
    <t>(Kelurahan Demangan) Cermin Tikungan di wilayah</t>
  </si>
  <si>
    <t xml:space="preserve">Mengurangi resiko kecelakaan </t>
  </si>
  <si>
    <t>(Keluarahan Demangan) Pengadaan Alat peraga edukasi Paud</t>
  </si>
  <si>
    <t>Kurangnya fasilitas penunjang kegiatan belajar</t>
  </si>
  <si>
    <t>Memberikan fasilitas yang maksimal bagi Paud</t>
  </si>
  <si>
    <t xml:space="preserve"> Paud Stroberi 04</t>
  </si>
  <si>
    <t>2 set @ 80.000</t>
  </si>
  <si>
    <t>(Kelurahan Demangan) Peningkatan dan pemeliharaan jalan dengan konstruksi non aspal di wilayah</t>
  </si>
  <si>
    <t xml:space="preserve">konblok di wilayah rw 05 yang sudah rusak </t>
  </si>
  <si>
    <t>warga dan pengguna jalan lainnya akan merasa nyaman</t>
  </si>
  <si>
    <t>warga rw 05</t>
  </si>
  <si>
    <t>RW 05 JL srikandi dan gg.srikandi</t>
  </si>
  <si>
    <t>Sumur resapan</t>
  </si>
  <si>
    <t>RT 16 3 titik</t>
  </si>
  <si>
    <t>3 Unit</t>
  </si>
  <si>
    <t>jalan aspal yang lama sudah lama rusak sehinnga warga dan pengguna jalan terganggu</t>
  </si>
  <si>
    <t>warga RW 05</t>
  </si>
  <si>
    <t>jalan Rambutan 1 dan 2</t>
  </si>
  <si>
    <t>2x400 m (2)</t>
  </si>
  <si>
    <t xml:space="preserve">Pengadaan cermin tikungan. Rawan kecelakaan </t>
  </si>
  <si>
    <t>para pengendara akan lebih mudah melihat kendaraan lain dan lebih waspada</t>
  </si>
  <si>
    <t>warga dan pengguna jalan</t>
  </si>
  <si>
    <t>RT 16 2 buah  RT 17 1 buah</t>
  </si>
  <si>
    <t xml:space="preserve"> </t>
  </si>
  <si>
    <t>lingkungan jalan gelap saat malam hari karena tidak adanya penerangan jalan</t>
  </si>
  <si>
    <t>saat malam hari warga dan pengguna jalan akan merasa nyaman</t>
  </si>
  <si>
    <t xml:space="preserve">RT 16 </t>
  </si>
  <si>
    <t>(Keluraan Demangan) Pelumpuran SAL di wilayah</t>
  </si>
  <si>
    <t>saluran air limbah yang mampet akibat lumpur serta pasir</t>
  </si>
  <si>
    <t>air limbah akan lancar</t>
  </si>
  <si>
    <t>Warga RW 05</t>
  </si>
  <si>
    <t xml:space="preserve">RT 17 </t>
  </si>
  <si>
    <t>13.01</t>
  </si>
  <si>
    <t>[Kelurahan demangan] Pelatihan pengolahan MPASI untuk pencegahan stunting di wilayah</t>
  </si>
  <si>
    <t xml:space="preserve">pembekalan pengetahuna gizi dan pengolahan MPASI untuk kader Posyandu dan Ibu Hamil untuk pencegahan stunting </t>
  </si>
  <si>
    <t>memperoleh pengetahuan dan ketrampilan yang cukup tentang MPASI dan pengolahannya sehingga bebas stunting</t>
  </si>
  <si>
    <t xml:space="preserve">Kader Posyandu dan Ibu </t>
  </si>
  <si>
    <t>Pemeliharaan SAH 
yang tersambung 
dengan sistem 
drainase perkotaan</t>
  </si>
  <si>
    <t>Perbaikan kerusakan dan penutupan 
saluran air hujan sepanjang jalan bimakunthing sisi selatan</t>
  </si>
  <si>
    <t>seluruh masyarakat RT.29  RT.30  RT.31</t>
  </si>
  <si>
    <t>sepanjang jalan bimakunthing 250 m'</t>
  </si>
  <si>
    <t>Pembangunan 
Sambungan Rumah ( SR)
dengan Tingkat 
Kepadatan Sedang Tinggi</t>
  </si>
  <si>
    <t>Penyediaan sambungan rumah 
penyambungan dari seluruh unit 
limbah rumah tangga kakus, cuci, 
dapur ke saluran limbah terpusat 
200 rumah</t>
  </si>
  <si>
    <t>Terpeliharanyan lingkungan yang bersih dari air limbah, terjaganya kualitas air sumur, wilayah bebas bakteri ecolli</t>
  </si>
  <si>
    <t>RT.29, RT.30. 31</t>
  </si>
  <si>
    <t>1 Kawasan</t>
  </si>
  <si>
    <t>[Kelurahan Demangan] Pelatihan Manajemen UMKM di wilayah</t>
  </si>
  <si>
    <t>UMKM masih kurang dalam pembukuan maupun marketing</t>
  </si>
  <si>
    <t>Meningkatkan UMKM</t>
  </si>
  <si>
    <t>masyarakat terutama UMKM</t>
  </si>
  <si>
    <t>Warga RT 39, RW 11</t>
  </si>
  <si>
    <t>RT 39</t>
  </si>
  <si>
    <t>26.13'</t>
  </si>
  <si>
    <t>Konblok rusak sehingga mengganggu aktifitas masyarakat</t>
  </si>
  <si>
    <t>Jalan lancar</t>
  </si>
  <si>
    <t>Masyarakat di wilayah dan pengguna jalan</t>
  </si>
  <si>
    <t>Jalan Mutiara sisi barat, RT 38, RW 11</t>
  </si>
  <si>
    <t>50 m x 4 m</t>
  </si>
  <si>
    <t>26.12'</t>
  </si>
  <si>
    <t>[Kelurahan Demangan] Pelumpuran SAL di wilayah</t>
  </si>
  <si>
    <t>Pembersihan Saluran Air Limbah dari lumpur, endapan, kotoran , sampah</t>
  </si>
  <si>
    <t>SAL lancar dan mencegah warga terkena penyakit</t>
  </si>
  <si>
    <t>RT 38, RW 11</t>
  </si>
  <si>
    <t>300 meter</t>
  </si>
  <si>
    <t>04.02'</t>
  </si>
  <si>
    <t>Perbaikan /Pemeliharaan talud sungai</t>
  </si>
  <si>
    <t>Talud sungai yang rusak membahayakan warga</t>
  </si>
  <si>
    <t>Warga pinggir sungai lebih aman dan aliran sungai lancar</t>
  </si>
  <si>
    <t>50 m2</t>
  </si>
  <si>
    <t>2.07'</t>
  </si>
  <si>
    <t>Pengadaan lampu PJU untuk penerangan jalan</t>
  </si>
  <si>
    <t>Jjalan menjadi terang sehingga lebih aman dari kejahatan dan lebih aman dalam berkendara</t>
  </si>
  <si>
    <t>Masyarakat dan pengguna jalan</t>
  </si>
  <si>
    <t>3 titik</t>
  </si>
  <si>
    <t>13.17'</t>
  </si>
  <si>
    <t>Meningkatkan kapsitas masyarakat dan meningkatkan pendapatan</t>
  </si>
  <si>
    <t>26.06'</t>
  </si>
  <si>
    <t>[Kelurahan Demangan] Pembangunan SPAH di wilayah</t>
  </si>
  <si>
    <t>Pemanfaatan air hujan</t>
  </si>
  <si>
    <t>RT 38 = 2 buah, RT 39= 2 buah</t>
  </si>
  <si>
    <t>5.04</t>
  </si>
  <si>
    <t>Penumbuhan Kampung Panca Tertib  Pengok</t>
  </si>
  <si>
    <t>Musyawarah, sosialisasi dilanjutkan kegiatan Tertib Usaha dan Tertib Lingkungan di 4 RW Kampung Pengok</t>
  </si>
  <si>
    <t>Tertib usaha akan membantu UMKM untuk lebih berkembang. Tertib lingkungan akan menimbulkan lingkungan yang nyaman dan kondusif</t>
  </si>
  <si>
    <t>Pelaku usaha dan masyarakat Kampung Pengok secara umum</t>
  </si>
  <si>
    <t>RW 9,10,11,12 Kampung Pengok</t>
  </si>
  <si>
    <t>11.07</t>
  </si>
  <si>
    <t>Bimbingan kebangsaan bagi orang tua untuk mengajarkan nasionalisme dan Bhinneka tunggal Ika</t>
  </si>
  <si>
    <t>Wawasan kebangsaan dan semangat nasionalisme generasi muda</t>
  </si>
  <si>
    <t>Orang tua Bina Keluarga Balita dan Remaja</t>
  </si>
  <si>
    <t>13.21</t>
  </si>
  <si>
    <t>Fasilitasi Lembaga Kemasyarakatan Kelurahan Demangan</t>
  </si>
  <si>
    <t>Koordinasi dan peningkatan kapasitas Jaga Warga Pengok</t>
  </si>
  <si>
    <t>Ada saluran pemecahan masalah-masalah sosial kemasyarakatan di Kampung Pengok</t>
  </si>
  <si>
    <t>23.04</t>
  </si>
  <si>
    <t>Penguatan Kampung Ramah Anak (KRA) Pengok</t>
  </si>
  <si>
    <t xml:space="preserve">Reviu pemenuhan hak anak dan perlindungan anak, serta partisipasi forum anak di Pengok. </t>
  </si>
  <si>
    <t>Lingkungan dan dan perkembangan anak di Pengok yang positif dan sehat</t>
  </si>
  <si>
    <t>Masyarakat Pengok khususnya anak-anak beserta lingkungan keluarganya</t>
  </si>
  <si>
    <t>Pengembangan Kapasitas SDM Petugas Linmas</t>
  </si>
  <si>
    <t>Pamwil</t>
  </si>
  <si>
    <t>Meningkatkan kapasitas linmas</t>
  </si>
  <si>
    <t>Linmas Kelurahan Demangan</t>
  </si>
  <si>
    <t>64 orang</t>
  </si>
  <si>
    <t>Kesamaptaan Petugas Linmas</t>
  </si>
  <si>
    <t>Pelatihan PBB</t>
  </si>
  <si>
    <t>Meningkatkan kesamaptaan linmas</t>
  </si>
  <si>
    <t xml:space="preserve"> Penyelesaian konblok di RT 35, 36 dan 37.</t>
  </si>
  <si>
    <t>memberikan kenyamanan berkendara di lingkungan RW 10</t>
  </si>
  <si>
    <t>Warga Rw 10</t>
  </si>
  <si>
    <t>RW 10</t>
  </si>
  <si>
    <t>50 m</t>
  </si>
  <si>
    <t>Pemasangan PJU baru di RT 34.</t>
  </si>
  <si>
    <t>MEMBERIKAN PENERANGAN yg layak agar lingkungan aman nyaman</t>
  </si>
  <si>
    <t>RT 34, RW 10</t>
  </si>
  <si>
    <t>(Kelurahan Demangan) Pelumpuran SAL di wilayah</t>
  </si>
  <si>
    <t>Pelumpuran Sumur resapan di RT 34, 35, 36 dan 37</t>
  </si>
  <si>
    <t>normalisasi kembali fungsi dari sumur resapan</t>
  </si>
  <si>
    <t>12 titik</t>
  </si>
  <si>
    <t>Pembangunan SPAH di wilayah</t>
  </si>
  <si>
    <t>Banyak air menggenang di lingkungan jika hujan turun</t>
  </si>
  <si>
    <t>Masing masing RT 2 unit</t>
  </si>
  <si>
    <t>V</t>
  </si>
  <si>
    <t>RT 42,43,44</t>
  </si>
  <si>
    <t>Pemeliharaan / Perbaikan Trotoar sesuai Kepwal Yogyakarta No 71 Th 2018</t>
  </si>
  <si>
    <t xml:space="preserve">Pelebaran trotoar  Jalan Langensari </t>
  </si>
  <si>
    <t>Sisi selatan Jl. Langensasi (RT 43)</t>
  </si>
  <si>
    <t>JL. Langensari</t>
  </si>
  <si>
    <t>150 m</t>
  </si>
  <si>
    <t>Pembuatan SAH                  (RT 44)</t>
  </si>
  <si>
    <t>Air hujan tidak masuk ke rumah</t>
  </si>
  <si>
    <t>RT 44</t>
  </si>
  <si>
    <t>75 M</t>
  </si>
  <si>
    <t>Pengadaan rambu -rambu lalu lintas  (verbooden)</t>
  </si>
  <si>
    <t>Banyak kecelakaan di jl langenasri</t>
  </si>
  <si>
    <t>pengguna jalan (kendaraan dan pejalan kaki) akan lebih aman</t>
  </si>
  <si>
    <t>antara RT 42-43-44 (jl Langensari)</t>
  </si>
  <si>
    <t>Pengadaan Rambu Rambu Lalu Lintas di Jalan Perkotaan sesuai Kepwal Yogyakarta No 71 Th 2018</t>
  </si>
  <si>
    <t>dapat lebih waspada danm menurangi kecelakaan</t>
  </si>
  <si>
    <t xml:space="preserve">Mengurangi kecelakaan </t>
  </si>
  <si>
    <t>antara              RT 42-43-44       (jl Langensari)</t>
  </si>
  <si>
    <t>26.10'</t>
  </si>
  <si>
    <t xml:space="preserve">Perbaikan kerusakan dan penutupan saluran air hujan </t>
  </si>
  <si>
    <t>Banyak yang rusak dan tidak ada tutupnya</t>
  </si>
  <si>
    <t xml:space="preserve">Pejalan kaki akan lebih nyaman </t>
  </si>
  <si>
    <t>30 m'</t>
  </si>
  <si>
    <t>26.10.</t>
  </si>
  <si>
    <t>saluran terlalu kecil menyebabkan jika hujan besar, air masuk rumah</t>
  </si>
  <si>
    <t>masyarakat (warga RT  44) aman</t>
  </si>
  <si>
    <t>masyarakat</t>
  </si>
  <si>
    <t>Pengadaan Alat
peraga Edukasi PAUD</t>
  </si>
  <si>
    <t>masih kurangnya alat peraga edukasi untuk anak RW12</t>
  </si>
  <si>
    <t>menjadikan anak-anak sehat, cerdas dan ceria</t>
  </si>
  <si>
    <t>anak- anak</t>
  </si>
  <si>
    <t>RW 12</t>
  </si>
  <si>
    <t>1  SET</t>
  </si>
  <si>
    <r>
      <t xml:space="preserve">Pembangunan Gedung Milik Daerah </t>
    </r>
    <r>
      <rPr>
        <b/>
        <sz val="11"/>
        <color theme="1"/>
        <rFont val="Calibri"/>
        <family val="2"/>
        <scheme val="minor"/>
      </rPr>
      <t>Berupa</t>
    </r>
    <r>
      <rPr>
        <sz val="11"/>
        <color theme="1"/>
        <rFont val="Calibri"/>
        <family val="2"/>
        <scheme val="minor"/>
      </rPr>
      <t xml:space="preserve"> : Pembangunan Balai Pertemuan Warga (Gedung Serbaguna) RT 44</t>
    </r>
  </si>
  <si>
    <t>Belum adanya tempat untuk kegiatan warga apabila hujandan panas</t>
  </si>
  <si>
    <t>Sarana kegiatan warga baik Tingkat RT ataupun RW dan tempat belajar anak-anak.</t>
  </si>
  <si>
    <t>Ada tempat untuk kegiatan warga</t>
  </si>
  <si>
    <t xml:space="preserve">RT 44 </t>
  </si>
  <si>
    <r>
      <t>80 m</t>
    </r>
    <r>
      <rPr>
        <sz val="11"/>
        <color theme="1"/>
        <rFont val="Calibri"/>
        <family val="2"/>
      </rPr>
      <t>²  (sesuai SKT dan Peta Bidang dari BPN)</t>
    </r>
  </si>
  <si>
    <t>[NAMA WILAYAH] Peningkatan dan pemeliharaan jalan dengan konstruksi non aspal di wilayah</t>
  </si>
  <si>
    <t xml:space="preserve">konblok yang lama  banyak yang  rusak </t>
  </si>
  <si>
    <t xml:space="preserve">lalu lintas lancar, tidak ada genangan air </t>
  </si>
  <si>
    <t>jalan belakang RT 42-43</t>
  </si>
  <si>
    <t>(Kelurahan Demangan) Pelatihan Kerajinan di wilayah</t>
  </si>
  <si>
    <t>Pelatihan batik shibori</t>
  </si>
  <si>
    <t>Meningkatkan SDM pemuda dalam bidang kerajinan</t>
  </si>
  <si>
    <t>Karang Taruna kelurahan</t>
  </si>
  <si>
    <t>Festival Kampung Wisata / menampilkan seluruh potensi wisata yang ada pada suat</t>
  </si>
  <si>
    <t>Merupakan fasilitasi untuk menampilkan potensi wisata dan UMKM yang dikemas dalam atraksi wisata</t>
  </si>
  <si>
    <t>Pokdarwis Kelurahan Demangan</t>
  </si>
  <si>
    <t>POKdarwis</t>
  </si>
  <si>
    <t>Dinas Periwisata</t>
  </si>
  <si>
    <t>Pentas Kawasan / menampilkan seluruh potensi wisata pada suatu kawasan destinasi wisata dan sekitarnya terutama</t>
  </si>
  <si>
    <t>Pentas Seni menampilkan seluruh potensi seni yang ada untuk memperkenalkan kampung wisata yang belum dikenal</t>
  </si>
  <si>
    <t>Merupakan pementasan seni dan atraksi untuk mempromosikan destinasi yang belum dikenal beserta produk kerajinan dan kuliner</t>
  </si>
  <si>
    <t>Event</t>
  </si>
  <si>
    <t>Dinas Pariwisata</t>
  </si>
  <si>
    <t xml:space="preserve">Pengadaan APE Paud </t>
  </si>
  <si>
    <t>Selama ini alat peraga bisa dikatakan sangat minimal</t>
  </si>
  <si>
    <t>Membantu berjalannya kegiatan PAUD sehingga menjadi lebih baik</t>
  </si>
  <si>
    <t>RW 2</t>
  </si>
  <si>
    <t>1 set</t>
  </si>
  <si>
    <t>Kelompok kesenian Hadroh</t>
  </si>
  <si>
    <t>Menjadikan warga memiliki keterampilan yang lebih sehingga mampu menghibur atau mengisi kegiatan yang ada</t>
  </si>
  <si>
    <t>Kelompok Hadroh RW 04</t>
  </si>
  <si>
    <t>Pengolahan Sampah organik</t>
  </si>
  <si>
    <t>banyak sampah sisa dapur yang terbuang dan menimbulkan bau busuk</t>
  </si>
  <si>
    <t>sampah sisa dapur dapat dimanfaatkan sebagai pupuk tanaman hias dan dapur</t>
  </si>
  <si>
    <t>RW 05</t>
  </si>
  <si>
    <t>3 unit @1.500.000</t>
  </si>
  <si>
    <t>Kelompok tani dan warga masyarakat RW 05</t>
  </si>
  <si>
    <t>Masih adanya balita di wilayah yang belum mencapai kondisi ideal tumbuh kembang anak dikarenakan orang tua yang memiliki kondisi ekonomi rendah</t>
  </si>
  <si>
    <t>Menjadikan tumbuh kembang balita menjadi lebih sehat dan optimal</t>
  </si>
  <si>
    <t>Warga RW 06</t>
  </si>
  <si>
    <t>20x12x8000</t>
  </si>
  <si>
    <t>pelaku usaha warga di RW.09  dan pelaku usaha disepanjang jl bimasakti dan jl bimakunthing</t>
  </si>
  <si>
    <t>Badan KesBangPol</t>
  </si>
  <si>
    <t>BPBD</t>
  </si>
  <si>
    <t xml:space="preserve">panjang 6 m, tinggi 20 cm </t>
  </si>
  <si>
    <t>Dinas KomInfosan</t>
  </si>
  <si>
    <t>Memanfaatkan JSS dengan mudah dan memberikan  akses untuk belajar online bagi pelajar saat pandemi</t>
  </si>
  <si>
    <t>Batas utara RT 7, Timur pasar, Depan P Katino RW 3</t>
  </si>
  <si>
    <t>3 titik @ 80 cm - 4 m</t>
  </si>
  <si>
    <t>10 unit, kabel dan instalasi</t>
  </si>
  <si>
    <t xml:space="preserve">20 Orang x 12 RW x 2 Kali </t>
  </si>
  <si>
    <t>4 kali</t>
  </si>
  <si>
    <t xml:space="preserve">24 titik Titik </t>
  </si>
  <si>
    <t>Lebar 5 m  panjang 222 m</t>
  </si>
  <si>
    <t xml:space="preserve"> 50 orang </t>
  </si>
  <si>
    <t>Alas pos ronda, pelebaran gudang, pembuatan rak</t>
  </si>
  <si>
    <t>Jl Wekudoro Kolojoyo sebelah timur</t>
  </si>
  <si>
    <t>Pemeliharaan cermin tikungan meliputi pembersihan, perbaikan dan penggantian</t>
  </si>
  <si>
    <t>lebar 50 cm dalam 50 cm pjg 200m</t>
  </si>
  <si>
    <t xml:space="preserve">3 titik </t>
  </si>
  <si>
    <t xml:space="preserve"> Penyuluhan bagi industri rumah tangga pangan untuk mendapatkan izin dan sertifikat PIRT (Produksi Pangan Industri Rumah Tangga)</t>
  </si>
  <si>
    <t>10 org</t>
  </si>
  <si>
    <t>Jl semar 75 m, JL Jatayu  75 m, Jl abimanyu 169 m</t>
  </si>
  <si>
    <t>rt 4, rt 5, rt 6</t>
  </si>
  <si>
    <t xml:space="preserve">rt 04 10 titik rt 05 20 titik  rt 06 15 titik </t>
  </si>
  <si>
    <t>pjg 50 dalam 50 cm lebar 50 cm</t>
  </si>
  <si>
    <t xml:space="preserve">20 orang 12 kali </t>
  </si>
  <si>
    <t xml:space="preserve"> 9 titik (5 titik di RT 12, 2 titik di RT 13, 2 Titik di RT 14) </t>
  </si>
  <si>
    <t xml:space="preserve">3 unit </t>
  </si>
  <si>
    <t xml:space="preserve">5 unit </t>
  </si>
  <si>
    <t>JL.Bimakunthing sisi selatan</t>
  </si>
  <si>
    <t xml:space="preserve"> 20 Orang </t>
  </si>
  <si>
    <t xml:space="preserve">30 Container, 3 rak besi, perbaikan atap kandang maggot BSF </t>
  </si>
  <si>
    <t xml:space="preserve"> Jl. Srikandi 3x100 m, gang srikandi 50m2</t>
  </si>
  <si>
    <t xml:space="preserve">4 buah </t>
  </si>
  <si>
    <t>Pelatihan meningkatkan kapasitas masyarakat  membuat kerajinan batik jumputan yang dapat meningkatkan pendapatan masyarakat</t>
  </si>
  <si>
    <t xml:space="preserve">2x Koord &amp; evaluasi Pekerti, 4x sosialisasi, 4x penertiban </t>
  </si>
  <si>
    <t xml:space="preserve">2x kunjungan </t>
  </si>
  <si>
    <t>Jaga Warga dapat menghadapi masalah sosial kemasyarakatan di Kampung Pengok</t>
  </si>
  <si>
    <t>4 pertemuan</t>
  </si>
  <si>
    <t>Mengurangi banjir, menampung air hujan</t>
  </si>
  <si>
    <t>6 unit</t>
  </si>
  <si>
    <t>bebas genangan, terjaganya lingkungan dari genangan yang berpotensi sebagai sarang nyamuk.</t>
  </si>
  <si>
    <t xml:space="preserve"> Pejalan kaki sisi selatan jalan akan lebih aman berjalan di trotoar</t>
  </si>
  <si>
    <t xml:space="preserve"> 20 orang x 12 pertemuan </t>
  </si>
  <si>
    <t xml:space="preserve">2x Koordinasi KRA,  4x pengembangan anak, 2x kunjungan, 2x gelar budaya&amp;olahraga, 2x edukasi anak </t>
  </si>
  <si>
    <t>[Kelurahan Demangan] Fasilitasi Lembaga Kemasyarakatan Kelurahan </t>
  </si>
  <si>
    <t>Rapat rutin TP PKK Kelurahan Demangan</t>
  </si>
  <si>
    <t>Mempersiapkan koordinasi untuk pengurus dan anggota</t>
  </si>
  <si>
    <t>Pengurus dan anggota TP PKK Kelurahan Demangan</t>
  </si>
  <si>
    <t>25 orang x 12 kali</t>
  </si>
  <si>
    <t xml:space="preserve">Fasilitasi ATK PKK </t>
  </si>
  <si>
    <t>Kelengkapan administrasi PKK</t>
  </si>
  <si>
    <t>Pertemuan Rutin PAUD</t>
  </si>
  <si>
    <t>Melaksanakan koordinasi pengurus dan anggota</t>
  </si>
  <si>
    <t>Pengurus dan anggota PAUD</t>
  </si>
  <si>
    <t>Honor pengajar PAUD
Bersetifikat Diklat
Pendidik PAUD
Tingkat Dasar</t>
  </si>
  <si>
    <t xml:space="preserve">BOP Pendidik PAUD </t>
  </si>
  <si>
    <t>Meningkatkan giat dan semangat bagi para pendidik PAUD</t>
  </si>
  <si>
    <t>Pendidik PAUD</t>
  </si>
  <si>
    <t>80 orang</t>
  </si>
  <si>
    <t>Rapat rutin PATBM</t>
  </si>
  <si>
    <t>Melaksanakan koordinasi untuk pengurus dan anggota PATBM</t>
  </si>
  <si>
    <t>Pengurus dan anggota</t>
  </si>
  <si>
    <t>Rapat rutin paguyuban bank sampah</t>
  </si>
  <si>
    <t>Melaksanakan koordinasi untuk pengurus dan anggota paguyuban bank sampah</t>
  </si>
  <si>
    <t>pengurus dan anggota paguyuban bank sampah</t>
  </si>
  <si>
    <t>Kelurahan Demangan Fasilitasi Lembaga Kemasyarakatan Kelurahan</t>
  </si>
  <si>
    <t xml:space="preserve">Rapat rutin komisi lansia </t>
  </si>
  <si>
    <t>untuk melaksanakan koordinasi rapat pengurus</t>
  </si>
  <si>
    <t>30 orang x 11 kali</t>
  </si>
  <si>
    <t>Rakor komisi lansia</t>
  </si>
  <si>
    <t>Workshop RW dan RT siaga</t>
  </si>
  <si>
    <t>Meningkatkan kesehatan warga</t>
  </si>
  <si>
    <t>35 orang x 1 kali</t>
  </si>
  <si>
    <t>Fasilitasi RW siaga</t>
  </si>
  <si>
    <t>Peningkatan kegiatan di wilayah</t>
  </si>
  <si>
    <t>Masyarakat, pengurus RW Siaga</t>
  </si>
  <si>
    <t>14 orang x 1 kali</t>
  </si>
  <si>
    <t>Rapat rutin Kesi</t>
  </si>
  <si>
    <t>Anggota dan pengurus KESI</t>
  </si>
  <si>
    <t>12 kali x 30 orang</t>
  </si>
  <si>
    <t>Rapat Rutin P2WKSS</t>
  </si>
  <si>
    <t>Melaksanakan koordinasi untuk pengurus dan anggota P2WKSS</t>
  </si>
  <si>
    <t>Anggota dan pengurus P2WKSS</t>
  </si>
  <si>
    <t>Pertemuan rutin kampung KB</t>
  </si>
  <si>
    <t>Melaksanakan kordinasi pengurus kampung KB kelurahan Demangan</t>
  </si>
  <si>
    <t>30 orang x 12 kali</t>
  </si>
  <si>
    <t>Pertemuan rutin IMP</t>
  </si>
  <si>
    <t>Melaksanakan kordinasi pengurus kampung IMP kelurahan Demangan</t>
  </si>
  <si>
    <t>Rakor KB</t>
  </si>
  <si>
    <t>Kordinasi pengurus KB kelurahan Demangan</t>
  </si>
  <si>
    <t>30 orang x 4 kali</t>
  </si>
  <si>
    <t>Rapat Karang Taruna Kelurahan</t>
  </si>
  <si>
    <t>Rapat kordinasi, evaluasi dan rapat kerja Karang Taruna</t>
  </si>
  <si>
    <t>Pengurus Karang Taruna Kelurahan</t>
  </si>
  <si>
    <t>25 orang x 6 kali x 20.000</t>
  </si>
  <si>
    <t>Rapat Linmas Kelurahan</t>
  </si>
  <si>
    <t>Rapat pertemuan Linmas</t>
  </si>
  <si>
    <t>Anggota Linmas Kelurahan</t>
  </si>
  <si>
    <t>36 orang x 6 x 20.000</t>
  </si>
  <si>
    <t>Pertemuan rutin FKDM</t>
  </si>
  <si>
    <t>Pertemuan rutin</t>
  </si>
  <si>
    <t>Anggota FKDM</t>
  </si>
  <si>
    <t>40 orang x 4 x 20.000</t>
  </si>
  <si>
    <t>Pertemuan rutin kadarkum</t>
  </si>
  <si>
    <t>Anggota kadarkum</t>
  </si>
  <si>
    <t>Tenaga Pendamping/Fasilitator Teknis &amp; Administrasi Pemberdayaan Wilayah</t>
  </si>
  <si>
    <t>Jasa tenaga teknis kelurahan</t>
  </si>
  <si>
    <t>Tenaga teknis</t>
  </si>
  <si>
    <t>1 orang</t>
  </si>
  <si>
    <t>Belanja internet RT dan RW</t>
  </si>
  <si>
    <t>Internet RT dan RW</t>
  </si>
  <si>
    <t>Ketua RT dan RW</t>
  </si>
  <si>
    <t>66 orang</t>
  </si>
  <si>
    <t>PAM wilayah</t>
  </si>
  <si>
    <t>Keamanan wilayah lebih terjaga</t>
  </si>
  <si>
    <t>Linmas Kelurahan</t>
  </si>
  <si>
    <t>67 orang</t>
  </si>
  <si>
    <t>Rapat pengurus Dekelana</t>
  </si>
  <si>
    <t>Penyusunan proker dan evaluasi</t>
  </si>
  <si>
    <t>Dekelana</t>
  </si>
  <si>
    <t>35 orang x 3 kali</t>
  </si>
  <si>
    <t xml:space="preserve">Pertemuan JBM Kelurahan </t>
  </si>
  <si>
    <t>Adanya kesamaan dan semangat pendampingan di semua JBM kelurahan Demangan</t>
  </si>
  <si>
    <t>JBM Kelurahan</t>
  </si>
  <si>
    <t>24 orang x 2 kali</t>
  </si>
  <si>
    <t>Kepengurusan IPSM Kelurahan Demangan</t>
  </si>
  <si>
    <t>Refreshing Wacana kepengurusan serta management organisasi</t>
  </si>
  <si>
    <t>IPSM kelurahan</t>
  </si>
  <si>
    <t>22-25 orang</t>
  </si>
  <si>
    <t>Kelengkapan buku kerja organisasi IPSM</t>
  </si>
  <si>
    <t>Banyaknya kegiatan pelayanan yang harus dilayani dengan baik</t>
  </si>
  <si>
    <t>IPSM Kelurahan</t>
  </si>
  <si>
    <t>Lansia potensial kordinasi lewat PSM setiap RW</t>
  </si>
  <si>
    <t>Masih adanya lansia yang menghasilkan pendapatan keluarga</t>
  </si>
  <si>
    <t>Honorarium Tim Pelaksana Kegiatan dan Sekretariat Tim Pelaksana Kegiatan</t>
  </si>
  <si>
    <t>Honorarium Jasa Pelayanan Bagi Warga Pelayan Masyarakat</t>
  </si>
  <si>
    <t>Ketua RT, RW, Kampung, PKK RT, PKK RW, PKK Kelurahan, LPMK</t>
  </si>
  <si>
    <t>117 orang</t>
  </si>
  <si>
    <t>TOTAL</t>
  </si>
  <si>
    <t>[Kelurahan Demangan] Pelatihan Kesehatan Berbasis Masyarakat di wilayah</t>
  </si>
  <si>
    <t xml:space="preserve">Pelatihan Budaya yang bersifat Rutin di wilayah </t>
  </si>
  <si>
    <t>Kelurahan Kotabaru</t>
  </si>
  <si>
    <r>
      <t xml:space="preserve">Konsep Kelurahan: </t>
    </r>
    <r>
      <rPr>
        <i/>
        <sz val="11"/>
        <color theme="1"/>
        <rFont val="Calibri"/>
      </rPr>
      <t>PENINGKATAN EKONOMI KREATIF BERBASIS PARIWISATA BUDAYA UNTUK KEBERDAYAAN MASYARAKAT</t>
    </r>
  </si>
  <si>
    <t>[GONDOKUSUMAN] Usulan Strategis</t>
  </si>
  <si>
    <t>Penataan jalan inspeksi bantaran code RW.04 berupa: pagar, lampu hias, jalan</t>
  </si>
  <si>
    <t xml:space="preserve">Infrastruktur jalan </t>
  </si>
  <si>
    <t>Jalan lingk menjadi bersih,rapi,dan nyaman</t>
  </si>
  <si>
    <t>Seluruh warga</t>
  </si>
  <si>
    <t>117 m</t>
  </si>
  <si>
    <t>19.07</t>
  </si>
  <si>
    <t>Pelatihan tata rias dan tata busana pentas seni</t>
  </si>
  <si>
    <t xml:space="preserve">UMKM &amp; sanggar seni Lebih berkembang </t>
  </si>
  <si>
    <t>@25 orang</t>
  </si>
  <si>
    <t>13.15</t>
  </si>
  <si>
    <t>13.17</t>
  </si>
  <si>
    <t>13.14</t>
  </si>
  <si>
    <t>[GONDOKUSUMAN] Pelatihan Kepariwisataan di wilayah</t>
  </si>
  <si>
    <t xml:space="preserve">Workshop manajemen pengelolaan wisata </t>
  </si>
  <si>
    <t>meningkatkan kualitas SDM pengurus</t>
  </si>
  <si>
    <t>Pengurus Pokdarwis</t>
  </si>
  <si>
    <t>1x</t>
  </si>
  <si>
    <t>13.12</t>
  </si>
  <si>
    <t>[GONDOKUSUMAN] Pelatihan Budaya yang bersifat Rutin di wilayah</t>
  </si>
  <si>
    <t>Penguatan Kapasitas Bregodo</t>
  </si>
  <si>
    <t>Melestarikan budaya</t>
  </si>
  <si>
    <t>Bregodo Widoro manis</t>
  </si>
  <si>
    <t>1 paket</t>
  </si>
  <si>
    <t>Penguatan Kapasitas Sanggar seni Lestari Budoyo</t>
  </si>
  <si>
    <t>Sanggar tari Lestari Budoyo</t>
  </si>
  <si>
    <t>13.13</t>
  </si>
  <si>
    <t>Festival Kampung
Wisata / menampilkan seluruh potensi wisata yang ada pada suatu kampung wisata</t>
  </si>
  <si>
    <t>Festival wisata Heritage</t>
  </si>
  <si>
    <t>Pengembangan potensi pariwisata</t>
  </si>
  <si>
    <t>menambah daya tarik wisatawan sehingga bisa meningkatkan perekonomian warga</t>
  </si>
  <si>
    <t xml:space="preserve">Seluruh Warga </t>
  </si>
  <si>
    <t>Pokdarwis Kelurahan Kotabaru</t>
  </si>
  <si>
    <t>14.01</t>
  </si>
  <si>
    <t>Gelar Upacara Adat Suran</t>
  </si>
  <si>
    <t>Upacara Adat suran</t>
  </si>
  <si>
    <t>Warisan budaya tetap dikenal dimasyarakat dan dilaksanakan sekaligus menarik wisatawan untuk berkunjung</t>
  </si>
  <si>
    <t>Warga masyarakat</t>
  </si>
  <si>
    <t>RW 05 Krasak</t>
  </si>
  <si>
    <t>1x setahun</t>
  </si>
  <si>
    <t>Gelar Upacara Adat Sadranan</t>
  </si>
  <si>
    <t>Upacara Adat sadranan</t>
  </si>
  <si>
    <t>9.02</t>
  </si>
  <si>
    <t>Pengadaan/Penyempurnaan Sarpras Ruang Terbuka Hijau Publik (RTHP)</t>
  </si>
  <si>
    <t xml:space="preserve">Mural </t>
  </si>
  <si>
    <t>Menciptakan lingk nyaman,bersih dan indah</t>
  </si>
  <si>
    <t>RW 01 &amp; RW 03</t>
  </si>
  <si>
    <t>Pengadaan Gamelan slendro &amp; pelog</t>
  </si>
  <si>
    <t xml:space="preserve"> menambah daya tarik wisatawan sekaligus sebagai penyangga daerah wisata budaya</t>
  </si>
  <si>
    <t>RKB</t>
  </si>
  <si>
    <t>Infrastruktur Pemukiman Cagar Budaya</t>
  </si>
  <si>
    <t>Rehab Bangsal pasarean Pangeran Sumedang</t>
  </si>
  <si>
    <t>Seluruh Warga Magersari</t>
  </si>
  <si>
    <t>Makam pangeran sumedang Krasak</t>
  </si>
  <si>
    <t>230m2</t>
  </si>
  <si>
    <t>Rehab Atap Bangunan Cagar budaya Serbuan Kotabaru</t>
  </si>
  <si>
    <t>Sebagai penyangga daerah wisata budaya</t>
  </si>
  <si>
    <t xml:space="preserve">Seluruh warga </t>
  </si>
  <si>
    <t>Asrama kompi RW 03</t>
  </si>
  <si>
    <t>1.01</t>
  </si>
  <si>
    <t>Pembangunan gedung milik daerah</t>
  </si>
  <si>
    <t>DED Balai Gotong Royong</t>
  </si>
  <si>
    <t>Sarana dan prasarana di wilayah</t>
  </si>
  <si>
    <t>Diharapkan bisa digunakan utk kegiatan yang ada di wilayah</t>
  </si>
  <si>
    <t>seluruh warga</t>
  </si>
  <si>
    <t>Jl. Juwadi, RW 02</t>
  </si>
  <si>
    <t>1.085 m2</t>
  </si>
  <si>
    <t>2.05</t>
  </si>
  <si>
    <t>Pemeliharaan / Perbaikan Trotoar
sesuai Kepwal
Yogyakarta No 71 Th
2018</t>
  </si>
  <si>
    <t>Perbaikan dan pembangunan trotoar untuk tracking wisata bunga pada ruas jalan Achmad Jazuli</t>
  </si>
  <si>
    <t>menarik wisatawan sekaligus sebagai media promosi sebagai kampung wisata budaya sehingga dapat meningkatkan ekonomi warga</t>
  </si>
  <si>
    <t>Kelompok penjual Bunga</t>
  </si>
  <si>
    <t>Sepanjang jalan A.Jazuli di RW 04</t>
  </si>
  <si>
    <t>Pelatihan Tata Rias Kecantikan tingkat kota</t>
  </si>
  <si>
    <t>Rajut sejahtera, RKB, Pawon Gotro</t>
  </si>
  <si>
    <t>13.07</t>
  </si>
  <si>
    <t>[GONDOKUSUMAN]
Monev Kegiatan Paud
di Wilayah; Gebyar PAUD di wilayah</t>
  </si>
  <si>
    <t>Gebyar PAUD &amp; Festival Paud berbagi</t>
  </si>
  <si>
    <t>Menstimulus aktifitas anak usia dini &amp; mengajarkan anak berjiwa sosial</t>
  </si>
  <si>
    <t>Anak usia dini</t>
  </si>
  <si>
    <t>Bunda PAUD Kelurahan</t>
  </si>
  <si>
    <t>13.06</t>
  </si>
  <si>
    <t>[GONDOKUSUMAN] Pelatihan Montessori bagi Pendidik Paud di wilayah</t>
  </si>
  <si>
    <t>Bimtek Pendidik PAUD</t>
  </si>
  <si>
    <t>Meningkatkan kualitas SDM Pendidik PAUD</t>
  </si>
  <si>
    <t>30 org @ 200 rb</t>
  </si>
  <si>
    <t>13.18</t>
  </si>
  <si>
    <t>[GONDOKUSUMAN] Pelatihan Kesehatan Berbasis Masyarakat di wilayah</t>
  </si>
  <si>
    <t>Cek kesehatan mata dan gigi anak didik PAUD</t>
  </si>
  <si>
    <t>Membekali anak didik dengan pengetahuan tentang pemerikasaan kesehatan gigi dan mata</t>
  </si>
  <si>
    <t>50 org</t>
  </si>
  <si>
    <t>13.20</t>
  </si>
  <si>
    <t>[GONDOKUSUMAN] Sarasehan kebangsaan dan ketahanan nasional di wilayah</t>
  </si>
  <si>
    <t>Workshop Penanggulangan kekerasan anak dan perempuan,KDRT</t>
  </si>
  <si>
    <t>Menambah wawasan bagaimana cara mengatasi &amp; mengurangi kekerasan</t>
  </si>
  <si>
    <t>Pokja 4 Kelurahan Kotabaru</t>
  </si>
  <si>
    <t xml:space="preserve">Sosialisasi Perda Pondokan </t>
  </si>
  <si>
    <t>Tertib dalam mengelola pondokan,Menciptakan Generasi penerus yang lebih cerdas dalam pergaulan dan berjiwa kebangsaan yang kuat</t>
  </si>
  <si>
    <t>Pokja 1 Kelurahan Kotabaru</t>
  </si>
  <si>
    <t>2x30 orang</t>
  </si>
  <si>
    <t>Sosialisasi KRISNA (Keluarga Indonesia Sehat Tanpa Narkoba)</t>
  </si>
  <si>
    <t>Workshop menu B2SA(Beragam,bergizi,seimbang dan aman)</t>
  </si>
  <si>
    <t>Berguna untuk menuju hidup sehat</t>
  </si>
  <si>
    <t>Pokja 3</t>
  </si>
  <si>
    <t>1x30 org</t>
  </si>
  <si>
    <t>[GONDOKUSUMAN] Pelatihan pengolahan MPASI untuk pencegahan stunting di wilayah</t>
  </si>
  <si>
    <t>Workshop kesehatan reproduksi remaja &amp; Stunting,KEK,ASI Eksklusif,PMBA</t>
  </si>
  <si>
    <t>Memberikan pengetahuan tentang kesehatan  reproduksi lebih dini dikalangan remaja,dan mencegah anak jgn sampai stunting,BBLR</t>
  </si>
  <si>
    <t>Remaja,calon pengantin,bumil,baduta</t>
  </si>
  <si>
    <t>4x30 org</t>
  </si>
  <si>
    <t>Sosialisasi untuk keluarga penyandang disabilitas &amp; putus sekolah</t>
  </si>
  <si>
    <t>Keluarga sasaran lebih memahami tugas dan tgg jwb</t>
  </si>
  <si>
    <t xml:space="preserve">IPSM </t>
  </si>
  <si>
    <t>1x30orang</t>
  </si>
  <si>
    <t>Workshop Kelembagaan IPSM</t>
  </si>
  <si>
    <t>Meningkatkan kualitas IPSM</t>
  </si>
  <si>
    <t>Pengurus IPSM</t>
  </si>
  <si>
    <t>13.16</t>
  </si>
  <si>
    <t>[GONDOKUSUMAN] Pelatihan Pertanian Perkotaan di wilayah</t>
  </si>
  <si>
    <t>Pelatihan Hidroponik &amp; Budidaya jamur</t>
  </si>
  <si>
    <t>Meningkatkan hasil kebon kelompok tani</t>
  </si>
  <si>
    <t xml:space="preserve">Kelompok tani </t>
  </si>
  <si>
    <t>1X 3  KT @Rp 5,000,000</t>
  </si>
  <si>
    <t>26.21</t>
  </si>
  <si>
    <t>[GONDOKUSUMAN] Pengolahan Sampah Organik : Pembuatan Demplot Magot (Black Soldier Fly) di wilayah</t>
  </si>
  <si>
    <t>Pembuatan bak budidaya magot,pengadaan alat pencacah dan sepeda angkut</t>
  </si>
  <si>
    <t xml:space="preserve">Memanfaatkan sampah organik dengan baik </t>
  </si>
  <si>
    <t>Bank sampah</t>
  </si>
  <si>
    <t>3 jenis</t>
  </si>
  <si>
    <t>26.20</t>
  </si>
  <si>
    <t>[GONDOKUSUMAN] Pengolahan Sampah Organik : Pembuatan Komposter Komunal di wilayah</t>
  </si>
  <si>
    <t xml:space="preserve">Pelatihan pengolahan limbah sterofom dan Mijel </t>
  </si>
  <si>
    <t>Mengatasi limbah menjadi bermanfaat</t>
  </si>
  <si>
    <t xml:space="preserve">Bank Sampah kelurahan </t>
  </si>
  <si>
    <t>4 unit</t>
  </si>
  <si>
    <t>26.23</t>
  </si>
  <si>
    <t>[GONDOKUSUMAN] Pengolahan Sampah Organik : Pengadaan Bin Sampah Terpilah (4 unit/set: Hijau-Kuning-Abu-Merah</t>
  </si>
  <si>
    <t>Workshop Bank sampah</t>
  </si>
  <si>
    <t>sosialisasi tentang bank sampah lebih diterima di masyarakat</t>
  </si>
  <si>
    <t>Bank sampah Kelurahan Kotabaru</t>
  </si>
  <si>
    <t>26.02</t>
  </si>
  <si>
    <t>[GONDOKUSUMAN] Pembangunan dan Pemeliharaan Mandi Cuci Kakus (MCK) umum dan kelengkapannya di wilayah</t>
  </si>
  <si>
    <t>Perbaikan MCK Umum</t>
  </si>
  <si>
    <t>Menciptakan lingk nyaman,bersih dan sehat</t>
  </si>
  <si>
    <t>RT 01/RW 01, RT 12/RW 03 &amp; RW 02</t>
  </si>
  <si>
    <t>RW 03: 12x3 m2    RW 01 : 6m RW 02:210x4 m2</t>
  </si>
  <si>
    <t>Kesehatan Masyarakat</t>
  </si>
  <si>
    <t>Penyuluhan jumantik</t>
  </si>
  <si>
    <t>Membentuk kader jumantik sehingga bisa mencegah berkembangnya nyamuk</t>
  </si>
  <si>
    <t xml:space="preserve">Kader,warga </t>
  </si>
  <si>
    <t>Pertanian dan pangan</t>
  </si>
  <si>
    <t>Pembuatan rak besi tanaman Poktan Code Gumregah</t>
  </si>
  <si>
    <t>Tanaman lebih rapi dan awet</t>
  </si>
  <si>
    <t>Poktan code gumregah</t>
  </si>
  <si>
    <t>3 m x20 cm x 10 Unit</t>
  </si>
  <si>
    <t>26.26</t>
  </si>
  <si>
    <t>[GONDOKUSUMAN] Pembangunan Sarana Prasarana Pelengkap (Gapura, Papan Penunjuk Jalan, Papan Nama Jalan)</t>
  </si>
  <si>
    <t>Pembuatan gapura kampung lampion</t>
  </si>
  <si>
    <t>identitas cagar budaya</t>
  </si>
  <si>
    <t>RT 18/RW 04</t>
  </si>
  <si>
    <t>30M2</t>
  </si>
  <si>
    <t>Penguatan Kelembagaan SIGRAK</t>
  </si>
  <si>
    <t>Meningkatkan kualitas SIGRAK</t>
  </si>
  <si>
    <t>Anggota SIGRAK</t>
  </si>
  <si>
    <t>SIGRAK Kelurahan Kotabaru</t>
  </si>
  <si>
    <t>KEMANTREN</t>
  </si>
  <si>
    <t>Perbaikan Water Torn</t>
  </si>
  <si>
    <t>RT 13/RW 03</t>
  </si>
  <si>
    <t>Perbaikan balai RW</t>
  </si>
  <si>
    <t>menciptakan kenyamanan ketika bersosialisasi bersama warga</t>
  </si>
  <si>
    <t xml:space="preserve">RT 01/RW 01 </t>
  </si>
  <si>
    <t>16m2</t>
  </si>
  <si>
    <t>26.14</t>
  </si>
  <si>
    <t>[GONDOKUSUMAN] Cermin Tikungan di wilayah</t>
  </si>
  <si>
    <t>Pengadaan cermin CEMBUNG</t>
  </si>
  <si>
    <t>menghindari kecelakaan pemakai jalan</t>
  </si>
  <si>
    <t>RW 01 , RW 02,RW 4</t>
  </si>
  <si>
    <t>rw 1=1 unit               rw 2=3 unit   RW 04=1 UNIT</t>
  </si>
  <si>
    <t>Pengadaan seragam PKK</t>
  </si>
  <si>
    <t xml:space="preserve">Sebagai identitas sekaligus Lebih semangat dalam melaksanakan tugas </t>
  </si>
  <si>
    <t>Pengurus PKK kelurahan kotabaru</t>
  </si>
  <si>
    <t>60 anggota</t>
  </si>
  <si>
    <t>5.02</t>
  </si>
  <si>
    <t>Pelatihan Kesemaptaan Linmas</t>
  </si>
  <si>
    <t>Meningkatkan kualitas SDM Linmas di lapangan</t>
  </si>
  <si>
    <t>Anggota Linmas</t>
  </si>
  <si>
    <t>Linmas Kelurahan Kotabaru</t>
  </si>
  <si>
    <t>2hr x 25 orang</t>
  </si>
  <si>
    <t>SatPoLPP</t>
  </si>
  <si>
    <t>Pengadaan seragam komplit Linmas</t>
  </si>
  <si>
    <t>Sebagai identitas Linmas</t>
  </si>
  <si>
    <t>Linmas</t>
  </si>
  <si>
    <t>Linmas Kotabaru</t>
  </si>
  <si>
    <t>25 orang x 800 Rb</t>
  </si>
  <si>
    <t>Pengadaan timbangan bayi,balita,lansia,ukur tinggi,ukur kepala dan lengan</t>
  </si>
  <si>
    <t>untuk menimbang berat badan bayi dan balita,lansia</t>
  </si>
  <si>
    <t>5 posyandu @ 1,75 jt</t>
  </si>
  <si>
    <t>10.01</t>
  </si>
  <si>
    <t>Pelatihan Satlakar (satuan relawan pemadam kebakaran)</t>
  </si>
  <si>
    <t>Pelatihan Ketahanan kebencanaan</t>
  </si>
  <si>
    <t>Meningkatkan kualitas SDM KTB di lapangan</t>
  </si>
  <si>
    <t>Anggota KTB</t>
  </si>
  <si>
    <t>KTB Kelurahan Kotabaru</t>
  </si>
  <si>
    <t>Pengembangan Kapasitas dan Ketrampilan Masyarakat</t>
  </si>
  <si>
    <t>Pelatihan Kader IPSM</t>
  </si>
  <si>
    <t>Agar lebih memahami tugasnya sebagai kader JPSM</t>
  </si>
  <si>
    <t>1x20 orang</t>
  </si>
  <si>
    <t>Pengadaan seragam kader IPSM</t>
  </si>
  <si>
    <t>Agar dapat diketahui oleh warga masyarakat di lapangan</t>
  </si>
  <si>
    <t>1 setx20 orang</t>
  </si>
  <si>
    <t>Pengadaan kursi roda,kaki palsu,alat bantu dengar</t>
  </si>
  <si>
    <t>Membantu keluarga penyandang disabilitas yang kurang mampu</t>
  </si>
  <si>
    <t>Penyandang disabilitas</t>
  </si>
  <si>
    <t>PKADD</t>
  </si>
  <si>
    <t>3 macam@2 pcs</t>
  </si>
  <si>
    <t>25.07</t>
  </si>
  <si>
    <t>Bimbingan Teknis dan Pelatihan Perikanan</t>
  </si>
  <si>
    <t>Pengadaan bibit lele &amp; pakan lele</t>
  </si>
  <si>
    <t>Meningkatkan perekonomian warga &amp; gizi</t>
  </si>
  <si>
    <t>Kelompok tani Kompitu RW 3</t>
  </si>
  <si>
    <t>25.02</t>
  </si>
  <si>
    <t>Pengembangan Kampung Sayur</t>
  </si>
  <si>
    <t xml:space="preserve">Pembuatan lorong sayur &amp; Buah dalam pot </t>
  </si>
  <si>
    <t>Diharapkan dapat membantu perekonomian warga</t>
  </si>
  <si>
    <t>30 m</t>
  </si>
  <si>
    <t>Budidaya Perikanan</t>
  </si>
  <si>
    <t>Meningkatkan perekonomian warga</t>
  </si>
  <si>
    <t>Seluruh warga RW 05</t>
  </si>
  <si>
    <t>RT 17/RW 5</t>
  </si>
  <si>
    <t>10 Tong</t>
  </si>
  <si>
    <t>Pemberdayaan masyarakat</t>
  </si>
  <si>
    <t>Bazar potensi UMKM</t>
  </si>
  <si>
    <t>Mengurangi sampah menjadi produk yang bernilai jual</t>
  </si>
  <si>
    <t>1xsetahun</t>
  </si>
  <si>
    <t>24.01</t>
  </si>
  <si>
    <t>Pengadaan tanah untuk Ruang Terbuka Hijau Publik (RTHP)</t>
  </si>
  <si>
    <t>Pembangunan lapangan untuk olah raga</t>
  </si>
  <si>
    <t>sebagai ruang terbuka untuk  sarana olah raga</t>
  </si>
  <si>
    <t>RT 01/RW 01 selatan romomangun</t>
  </si>
  <si>
    <t>63m2</t>
  </si>
  <si>
    <t>15.05</t>
  </si>
  <si>
    <t>Penyediaan Sarana dan Prasarana Pendukung Kegiatan Masyarakat</t>
  </si>
  <si>
    <t xml:space="preserve">Pengadaan Alat  olah raga </t>
  </si>
  <si>
    <t>Masyarakat sehat</t>
  </si>
  <si>
    <t>Karang taruna RW 03 &amp; RW 04</t>
  </si>
  <si>
    <t>Sarana dan Prasarana di wilayah</t>
  </si>
  <si>
    <t>Penambahan alat  KTB berupa chain saw,gergaji manual,kapak,pemotong rumput,tenda evakuasi</t>
  </si>
  <si>
    <t>Memudahkan dalam pengerjaan kegiatan KTB</t>
  </si>
  <si>
    <t>5 Unit</t>
  </si>
  <si>
    <t>BPKAD</t>
  </si>
  <si>
    <t>2.02</t>
  </si>
  <si>
    <t>Perbaikan  SAH</t>
  </si>
  <si>
    <t>Aliran air menjadi lancar serta mencegah timbulnya penyakit</t>
  </si>
  <si>
    <t xml:space="preserve">RT 11,RT 13/RW 03 </t>
  </si>
  <si>
    <t>RT 11=150 M,RT 13=300 M2</t>
  </si>
  <si>
    <t>3.03</t>
  </si>
  <si>
    <t>Penataan Lingkungan Permukiman</t>
  </si>
  <si>
    <t>Penataan bantaran sungai code</t>
  </si>
  <si>
    <t>Pemukiman menjadi lebih rapi ,aman,nyaman dan bersih</t>
  </si>
  <si>
    <t>225 M</t>
  </si>
  <si>
    <t>3.02</t>
  </si>
  <si>
    <t>Pembangunan Talud Permukiman</t>
  </si>
  <si>
    <t xml:space="preserve">Pembuatan Pagar talud pengaman kios </t>
  </si>
  <si>
    <t>mengurangi bahaya longsor sehingga pemukiman warga menjadi aman dan bersih</t>
  </si>
  <si>
    <t>RT01/RW 01</t>
  </si>
  <si>
    <t>160M2</t>
  </si>
  <si>
    <t>26.01 atau 26.13</t>
  </si>
  <si>
    <t xml:space="preserve">Perbaikan Konblok </t>
  </si>
  <si>
    <t>RW 01,03,04 &amp; 05</t>
  </si>
  <si>
    <t>RT 17/rw 05=750 m2  RT 21/rw 04 = 120 M2  RT 13/RW03=300M2 RT 01/RW 01=70M2</t>
  </si>
  <si>
    <t>26.03</t>
  </si>
  <si>
    <t>[GONDOKUSUMAN]
Pemeliharaan pos ronda di wilayah</t>
  </si>
  <si>
    <t>Perbaikan Pos Ronda</t>
  </si>
  <si>
    <t xml:space="preserve">Diharapkan lingkungan menjadi aman terkendali dari tindak kejahatan </t>
  </si>
  <si>
    <t>RT 16/RW 05 Krasak</t>
  </si>
  <si>
    <t>45M2</t>
  </si>
  <si>
    <t>Renovasi kantor sekretariat &amp; gudang infentaris</t>
  </si>
  <si>
    <t>Memudahkan koordinasi di wilayah</t>
  </si>
  <si>
    <t>3.07</t>
  </si>
  <si>
    <t>Perbaikan SAL</t>
  </si>
  <si>
    <t>RT 16,  17/RW 05 Krasak</t>
  </si>
  <si>
    <t>RT 16=150 m               RT 17=97 m</t>
  </si>
  <si>
    <t>Pengadaan Jetpum</t>
  </si>
  <si>
    <t>memenuhi kebutuhan air bersih untuk warga</t>
  </si>
  <si>
    <t>RT 17/RW 05 Krasak</t>
  </si>
  <si>
    <t>CSR</t>
  </si>
  <si>
    <t>26.11</t>
  </si>
  <si>
    <t>[GONDOKUSUMAN] Pemeliharan Penerangan Jalan Umum (PJU) Lingkungan di wilayah</t>
  </si>
  <si>
    <t>Pemeliharaan PJU</t>
  </si>
  <si>
    <t>Dinsos Nakertrans</t>
  </si>
  <si>
    <t>DLH</t>
  </si>
  <si>
    <t>[GONDOKUSUMAN] Fasilitasi Lembaga Kemasyarakatan Kelurahan</t>
  </si>
  <si>
    <t>Koordinasi antar warga dan Lembaga masyarakat</t>
  </si>
  <si>
    <t xml:space="preserve"> memenuhi kebutuhan dalam setiap kegiatan operasional kelembagaan disetiap wilayah</t>
  </si>
  <si>
    <t>RT,RW,LPMK,Kampung,PKK,Kelembagaan wilayah</t>
  </si>
  <si>
    <t>4x25 orangx30 lembaga</t>
  </si>
  <si>
    <t>Kegiatan rutin lansia</t>
  </si>
  <si>
    <t xml:space="preserve"> memenuhi kebutuhan dalam setiap kegiatan operasional Lansia</t>
  </si>
  <si>
    <t>1 tahun</t>
  </si>
  <si>
    <t>Kegiatan Rutin PKADD</t>
  </si>
  <si>
    <t xml:space="preserve"> memenuhi kebutuhan dalam setiap kegiatan operasional Disabilitas</t>
  </si>
  <si>
    <t xml:space="preserve">Disabilitas </t>
  </si>
  <si>
    <t>Pendampingan pengisian raport keluarga miskin</t>
  </si>
  <si>
    <t>Evaluasi warga miskin</t>
  </si>
  <si>
    <t>Pemegang KMS</t>
  </si>
  <si>
    <t>Rapat Koordinasi Kampung</t>
  </si>
  <si>
    <t>menjaring komunikasi warga dan kampung</t>
  </si>
  <si>
    <t>Rapat Koordinasi LPMK</t>
  </si>
  <si>
    <t>Rapat Koordinasi IPSM</t>
  </si>
  <si>
    <t>menjaring komunikasi pengurus IPSM</t>
  </si>
  <si>
    <t>IPSM Kelurahan Kotabaru</t>
  </si>
  <si>
    <t>12X30 orang</t>
  </si>
  <si>
    <t>Rapat Koordinasi KESI</t>
  </si>
  <si>
    <t>menjaring komunikasi kelurahan siaga</t>
  </si>
  <si>
    <t>Rapat Koordinasi Bank sampah</t>
  </si>
  <si>
    <t>fasilitasi rapat bank sampah</t>
  </si>
  <si>
    <t>6 BS+Paguyuban</t>
  </si>
  <si>
    <t>4xsetahunx7@600 rb</t>
  </si>
  <si>
    <t>Honorarium jasa pelayanan masyarakat</t>
  </si>
  <si>
    <t>Memotivasi ketua lembaga</t>
  </si>
  <si>
    <t>Ketua lembaga pelayanan masy</t>
  </si>
  <si>
    <t>53 orang</t>
  </si>
  <si>
    <t>Pemberdayaan kelurahan</t>
  </si>
  <si>
    <t>Belanja Paket data</t>
  </si>
  <si>
    <t>Fasilitasi RT RW</t>
  </si>
  <si>
    <t>Pelayan masyarakat</t>
  </si>
  <si>
    <t>Naban</t>
  </si>
  <si>
    <r>
      <rPr>
        <b/>
        <sz val="8"/>
        <color theme="1"/>
        <rFont val="Calibri"/>
        <family val="2"/>
      </rPr>
      <t xml:space="preserve">Kode Usulan </t>
    </r>
    <r>
      <rPr>
        <i/>
        <sz val="8"/>
        <color theme="1"/>
        <rFont val="Calibri"/>
        <family val="2"/>
      </rPr>
      <t>(sesuai kamus usulan)</t>
    </r>
  </si>
  <si>
    <r>
      <rPr>
        <b/>
        <sz val="11"/>
        <color theme="1"/>
        <rFont val="Calibri"/>
        <family val="2"/>
      </rPr>
      <t xml:space="preserve">Usulan Kegiatan/Permasalahan
</t>
    </r>
    <r>
      <rPr>
        <i/>
        <sz val="11"/>
        <color theme="1"/>
        <rFont val="Calibri"/>
        <family val="2"/>
      </rPr>
      <t>(sesuai kamus usulan)</t>
    </r>
  </si>
  <si>
    <r>
      <rPr>
        <b/>
        <sz val="11"/>
        <color theme="1"/>
        <rFont val="Calibri"/>
        <family val="2"/>
      </rPr>
      <t xml:space="preserve">Lokasi 
</t>
    </r>
    <r>
      <rPr>
        <i/>
        <sz val="9"/>
        <color theme="1"/>
        <rFont val="Calibri"/>
        <family val="2"/>
      </rPr>
      <t>(Alamat jelas dan lengkap)</t>
    </r>
    <r>
      <rPr>
        <sz val="9"/>
        <color theme="1"/>
        <rFont val="Calibri"/>
        <family val="2"/>
      </rPr>
      <t xml:space="preserve">
</t>
    </r>
  </si>
  <si>
    <r>
      <rPr>
        <b/>
        <sz val="11"/>
        <color theme="1"/>
        <rFont val="Calibri"/>
        <family val="2"/>
      </rPr>
      <t xml:space="preserve">Uraian Kelompok Penerima Manfaat 
</t>
    </r>
    <r>
      <rPr>
        <i/>
        <sz val="9"/>
        <color theme="1"/>
        <rFont val="Calibri"/>
        <family val="2"/>
      </rPr>
      <t>(Diisi deskripsinya)</t>
    </r>
  </si>
  <si>
    <r>
      <t xml:space="preserve">Konsep Kelurahan: </t>
    </r>
    <r>
      <rPr>
        <i/>
        <sz val="11"/>
        <color theme="1"/>
        <rFont val="Calibri"/>
        <family val="2"/>
      </rPr>
      <t>Percepatan Pembanguanan Kelurahan Klitren Nyaman huni, indah, ramah, Berbudaya, tertib dan aman menjadi tujuan wisata Perkotaan</t>
    </r>
  </si>
  <si>
    <t>26.01</t>
  </si>
  <si>
    <t>Pembangunan Sarana dan Prasarana Wilayah</t>
  </si>
  <si>
    <t>Pemukiman menjadi bersih, asri indah, sebagai daya tarik wisata embung langensari</t>
  </si>
  <si>
    <t>Warga yang tinggal disekitar embung langensari</t>
  </si>
  <si>
    <t>√</t>
  </si>
  <si>
    <t>1 Paket</t>
  </si>
  <si>
    <t>Kesehatan</t>
  </si>
  <si>
    <t>Workshop penanggulangan penyakit HIV/AIDS</t>
  </si>
  <si>
    <t>Meningkatnya wawasan dan pengetahuan warga  tentang HIV/AIDS</t>
  </si>
  <si>
    <t>Kelompok WPA</t>
  </si>
  <si>
    <t>40 orang x pertemuan</t>
  </si>
  <si>
    <t>7.02</t>
  </si>
  <si>
    <t>kebugaran fisik lansia</t>
  </si>
  <si>
    <t>70 orang X  6 kali</t>
  </si>
  <si>
    <t>Pemberdayaan Masyarakat  di wilayah</t>
  </si>
  <si>
    <t>Meningkatnya kesadaran masyarakat akan bahaya penyakit TBC</t>
  </si>
  <si>
    <t>Tokoh Masyarakat dan warga masyarakat suspek TB</t>
  </si>
  <si>
    <t>422  Orang : 8 pertemuan</t>
  </si>
  <si>
    <t>Meningkatnya kerukunan antar umat beragama di Kelurahan Klitren</t>
  </si>
  <si>
    <t>Umat beragama dan pengurus FPUB Kelurahan</t>
  </si>
  <si>
    <t>2 kali 50 orang</t>
  </si>
  <si>
    <t>Penyeragaman dalam pencatatan dan administrasi bank sampah</t>
  </si>
  <si>
    <t>Paguyuban Bank Sampah Anugerah Klitren</t>
  </si>
  <si>
    <t>42 orang x 1 pertemuan</t>
  </si>
  <si>
    <t>Meningkatkan  ketrampilan masyarakat dalam mengolah sampah organik</t>
  </si>
  <si>
    <t>Penggiat bank sampah di 3 Kampung</t>
  </si>
  <si>
    <t>kelurahan</t>
  </si>
  <si>
    <t>32  Orang</t>
  </si>
  <si>
    <t>Pelatihan pengolahan sampah organik dalam ember tumpuk</t>
  </si>
  <si>
    <t>Pelatihan tari tradisional Lanjutan</t>
  </si>
  <si>
    <t>Memiliki ketrampilan tari tradisional</t>
  </si>
  <si>
    <t>Anak dan remaja, Paguyuban Seni dan Budaya Klitren</t>
  </si>
  <si>
    <t xml:space="preserve">Kelurahan </t>
  </si>
  <si>
    <t>20 orang x 6 kali</t>
  </si>
  <si>
    <t>Mengurangi sampah RT Terintegrasi</t>
  </si>
  <si>
    <t>Warga Kampung  Kepuh Balapan</t>
  </si>
  <si>
    <t>30 orang x 1 hari</t>
  </si>
  <si>
    <t>Pengurus kelompok PKK RT, RW, dan TP. PKK Kelurahan</t>
  </si>
  <si>
    <t>93 orang x 1 pertemuan</t>
  </si>
  <si>
    <t>Pembinaan potensi Seni dan Budaya</t>
  </si>
  <si>
    <t>Gelar Upacara adat Unduh unduh</t>
  </si>
  <si>
    <t>Melestarikan Budaya dan Pengenalan Sejarah Klitren</t>
  </si>
  <si>
    <t>Warga masyarakat dan generasi penerus</t>
  </si>
  <si>
    <t>150  Orang</t>
  </si>
  <si>
    <t>14.02</t>
  </si>
  <si>
    <t>Memotifasi dan menambah wasan anggota bregodo</t>
  </si>
  <si>
    <t>anggota bregodo, Paguyuban Seni dan Budaya Klitren</t>
  </si>
  <si>
    <t>Pelatihan permainan tradisional</t>
  </si>
  <si>
    <t>Meningkatakan rasa persaudaraan dan menjaga kesehatan</t>
  </si>
  <si>
    <t>Pemuda, Karang Taruna dan warga RT14 RW.4 Klitren</t>
  </si>
  <si>
    <t>Gelar potensi PAUD dan Pendidik PAUD</t>
  </si>
  <si>
    <t>Paguyuban PAUD Klitren Jaya</t>
  </si>
  <si>
    <t xml:space="preserve">RTHP/Fasum Kel. Klitren </t>
  </si>
  <si>
    <t>150 orang</t>
  </si>
  <si>
    <t>Pendidikan</t>
  </si>
  <si>
    <t>Worshop peningkatan kapasitas pendidik PAUD</t>
  </si>
  <si>
    <t>Mengenalkan motorik kasar dan emosional anak</t>
  </si>
  <si>
    <t>Anggota Pokdarwis Klitren</t>
  </si>
  <si>
    <t>35 orang x 3 pertemuan</t>
  </si>
  <si>
    <t>35 orang x 2 pertemuan</t>
  </si>
  <si>
    <t>22.01</t>
  </si>
  <si>
    <t>Menambah wawasan dan melengkapi motif jumputan</t>
  </si>
  <si>
    <t>Anggota PBTLS</t>
  </si>
  <si>
    <t>14 orang</t>
  </si>
  <si>
    <t>Sarana dan Prasarana di Wilayah</t>
  </si>
  <si>
    <t xml:space="preserve">Pengadaan alat pengukur tinggi badan Bayi, tensi meter,  thermogun,dan Thermometer Forehead Infrared Sensor </t>
  </si>
  <si>
    <t>Mendukung kinerja kader posyandu dan memberikan informasi akurat kondisi kesehatan bayi/balita</t>
  </si>
  <si>
    <t>Kader Posyandu 16 RW Kelurahan Klitren</t>
  </si>
  <si>
    <t>Posyandu RW 1 sd 16</t>
  </si>
  <si>
    <t xml:space="preserve">48 unit </t>
  </si>
  <si>
    <t>26.04</t>
  </si>
  <si>
    <t xml:space="preserve">Pembuatan gapura penanda kampung </t>
  </si>
  <si>
    <t>Penanda Gerbang Kampung Wisata Klitren Lor</t>
  </si>
  <si>
    <t>Pelestarian adat budaya Tradisi Nyadran</t>
  </si>
  <si>
    <t>Pelestarian Budaya jawa dan penghormatan para leluhur</t>
  </si>
  <si>
    <t>Festival langensari</t>
  </si>
  <si>
    <t>Pelesatarian Budaya dan gelar potensi budaya</t>
  </si>
  <si>
    <t>Mitigasi dan Evakuasi Bencana</t>
  </si>
  <si>
    <t>Meningkatnya kapasitas relawan KTB</t>
  </si>
  <si>
    <t>3 kampung</t>
  </si>
  <si>
    <t>20 orang x 3 Pertemuan</t>
  </si>
  <si>
    <t>Memperkuat karakter dan penampian dan perfoma bregodo klitren</t>
  </si>
  <si>
    <t>Kundho Kabudayan DIY</t>
  </si>
  <si>
    <t>Pengadaan perangkat gamelan</t>
  </si>
  <si>
    <t>Kelengkapan saranan</t>
  </si>
  <si>
    <t>Warga Paguyuban Seni dan Budaya Klitren</t>
  </si>
  <si>
    <t>Pembuatan MCK umum, 3 bilik yang bisa diakses  10 keluarga dan masyrakat umum</t>
  </si>
  <si>
    <t>Terbangunnya fasilitas MCK yang memadai</t>
  </si>
  <si>
    <t>warga masyarakat sekitar Rw 07 Iromejan</t>
  </si>
  <si>
    <t>Rt. 28, Rw.07 Iromejan</t>
  </si>
  <si>
    <t>3 unit</t>
  </si>
  <si>
    <t>Kesejahteraan Sosial</t>
  </si>
  <si>
    <t>Renovasi (RTLH) Huni untuk 4 KK yang kondisi huniannya tidak memenuhi standar kesehatan</t>
  </si>
  <si>
    <t>Terbangunnya rumah hunian yang memenuhi standar kesehatan</t>
  </si>
  <si>
    <t>Keluarga Bpk. DASIMAN, SUKARDI, SUTARMI, SUTARDI</t>
  </si>
  <si>
    <t>Rt. 28, Rw.07, Rt. 32, Rw 08                 KP Iromejan</t>
  </si>
  <si>
    <t>4   Rumah</t>
  </si>
  <si>
    <t>5.01</t>
  </si>
  <si>
    <t>Keamanan dan Ketertiban Masyarakat</t>
  </si>
  <si>
    <t>LINMAS</t>
  </si>
  <si>
    <t>65  Orang</t>
  </si>
  <si>
    <t>7.04</t>
  </si>
  <si>
    <t>Pemberian Makanan Tambahan bagi Bayi dan Balita Stunting</t>
  </si>
  <si>
    <t>Memberikan asupan nutrisi bergizi bagi balita Stunting</t>
  </si>
  <si>
    <t>Bayi dan Balita Stunting</t>
  </si>
  <si>
    <t>9 Balita Stunting kelurahan klitren</t>
  </si>
  <si>
    <t>9 orang x 90 kali</t>
  </si>
  <si>
    <t>Peningkatan kapasitas kader posyandu pendamping bayi stunting</t>
  </si>
  <si>
    <t>Meningkatnya kapasitas kader posyandu pendamping bayi stunting</t>
  </si>
  <si>
    <t>Kader pendamping bayi stunting</t>
  </si>
  <si>
    <t>kader pendamping bayi stunting kel klitren</t>
  </si>
  <si>
    <t>10 orang x 7 posyandu x 3 kali</t>
  </si>
  <si>
    <t>12.02</t>
  </si>
  <si>
    <t xml:space="preserve">Workshop penguatan kapasitas Kelembagaan Karang Taruna </t>
  </si>
  <si>
    <t>Meningkatnya kesadaran Karang Taruna akan peran, tugas dan tanggungjawabnya</t>
  </si>
  <si>
    <t>Anggota Karang Taruna Kelurahan Klitren</t>
  </si>
  <si>
    <t>Kalurahan</t>
  </si>
  <si>
    <t>50 orang x 2 pertemuan</t>
  </si>
  <si>
    <t>Pemberdayaan Masyarakat di Wilayah</t>
  </si>
  <si>
    <t>Sarasehan FKDM (Forum Kewaspadaan Dini Masarakat)</t>
  </si>
  <si>
    <t>Meningkatkan pemahaman warga terhadap tupoksi FKDM</t>
  </si>
  <si>
    <t>Pengurus FKDM,tokoh masyarakat, warga masyarakat</t>
  </si>
  <si>
    <t>30 orang x kali</t>
  </si>
  <si>
    <t>13.08</t>
  </si>
  <si>
    <t>Bimtek cara pengasuhan bagi penyandang ODGJ</t>
  </si>
  <si>
    <t>Meningkatkan pemahaman dan pengetahuan keluarga dalam pengasuhan bagi penyandang ODGJ</t>
  </si>
  <si>
    <t>Keluarga penyandang ODGJ</t>
  </si>
  <si>
    <t>20 orang x 1 kali</t>
  </si>
  <si>
    <t>13.09</t>
  </si>
  <si>
    <t>Peningkatan dan pembinaan PIKK dan PIK RW</t>
  </si>
  <si>
    <t>Terwujudnya tertib data dan administrasi PIKK</t>
  </si>
  <si>
    <t>Kader PIKK dan PIK 16 RW</t>
  </si>
  <si>
    <t>40 orang x 1 pertemuan</t>
  </si>
  <si>
    <t>26.07</t>
  </si>
  <si>
    <t>Pembangunan Sarana dan Prasarana Kelurahan</t>
  </si>
  <si>
    <t>Jasa Konsultasi Perencanaan penempatan titik lokasi pemasangan CCTV wilayah kelurahan klitren</t>
  </si>
  <si>
    <t>Didapatkannya dokumen data  secara pasti lokasi, dan biaya pengadaan alat tersebut</t>
  </si>
  <si>
    <t>warga masyarakat kelurahan Klitren</t>
  </si>
  <si>
    <t>Kelurahan Klitren</t>
  </si>
  <si>
    <t>16 RW</t>
  </si>
  <si>
    <t>26.08</t>
  </si>
  <si>
    <t>Pemeliharaan PJUL dan PJUG</t>
  </si>
  <si>
    <t>Terpeliharanya instalasi PJUK yang tersebar di wilayah kel. Klitren</t>
  </si>
  <si>
    <t>Warga masyarakat kelurahan klitren</t>
  </si>
  <si>
    <t>300 titik</t>
  </si>
  <si>
    <t>26.10</t>
  </si>
  <si>
    <t>Warga</t>
  </si>
  <si>
    <t>RW 01</t>
  </si>
  <si>
    <t>600 m2</t>
  </si>
  <si>
    <t>Pembuatan peta wilayah</t>
  </si>
  <si>
    <t>Penunjuk arah destinasi</t>
  </si>
  <si>
    <t>3 Kampung</t>
  </si>
  <si>
    <t>10 unit</t>
  </si>
  <si>
    <t>26.12</t>
  </si>
  <si>
    <t>Pengadaan dan pemasangan Rambu Lalin di kampung</t>
  </si>
  <si>
    <t xml:space="preserve">Terwujudnya ketertiban dan kelancaran lalin di kampung </t>
  </si>
  <si>
    <t xml:space="preserve">Semua warga </t>
  </si>
  <si>
    <t>RW.07,08,09,10</t>
  </si>
  <si>
    <t>9 Titik lokasi</t>
  </si>
  <si>
    <t>26.16</t>
  </si>
  <si>
    <t>Warga miskin</t>
  </si>
  <si>
    <t>Terfasilitasinya akses jalan kampung yan memadai</t>
  </si>
  <si>
    <t>Warga kampung Iromejan dan warga lainnya</t>
  </si>
  <si>
    <t>RW 08, 09</t>
  </si>
  <si>
    <t>Pelatihan penggunaan alat damkar</t>
  </si>
  <si>
    <t>Antisipasi kebakaran</t>
  </si>
  <si>
    <t>Anggota KTB Iromejan</t>
  </si>
  <si>
    <t>Kampung</t>
  </si>
  <si>
    <t>2 keg</t>
  </si>
  <si>
    <t>Pelatihan pengoperasian alat komunikasi HT</t>
  </si>
  <si>
    <t>Komunikasi antar anggota jadi lebih lancar</t>
  </si>
  <si>
    <t>2 kegt</t>
  </si>
  <si>
    <t>Pengadaan APAR</t>
  </si>
  <si>
    <t>13 unit Apar</t>
  </si>
  <si>
    <t>Kesiapsiagaan bencana</t>
  </si>
  <si>
    <t>KTB  3 kampung</t>
  </si>
  <si>
    <t xml:space="preserve"> 4  KTB </t>
  </si>
  <si>
    <t>200 orang x  1 pertemuan</t>
  </si>
  <si>
    <t>Pelatihan pemuliaan jenasah</t>
  </si>
  <si>
    <t>Warga dan anggota personil TKC Kelurahan Klitren</t>
  </si>
  <si>
    <t>20   Orang</t>
  </si>
  <si>
    <t>Pelatihan Budidaya ikan dalam terpal</t>
  </si>
  <si>
    <t xml:space="preserve">Meningkatkan  ketrampilan dan usaha </t>
  </si>
  <si>
    <t>Iromejan</t>
  </si>
  <si>
    <t>20  Orang</t>
  </si>
  <si>
    <t>Dinas DIY</t>
  </si>
  <si>
    <t>8.02</t>
  </si>
  <si>
    <t>Pengadaan fasilitas Kursi roda dan Kreg untuk Lansia tidak mampu guna mendukung mobilitas sehari-hari</t>
  </si>
  <si>
    <t>Tersedianya fasilitas untuk mendukung mobilitas bagi lansia tidak mampu</t>
  </si>
  <si>
    <t>Lansia tidak mampu kelurahan klitren</t>
  </si>
  <si>
    <t>11 unit</t>
  </si>
  <si>
    <t>26.06</t>
  </si>
  <si>
    <t>Pemasangan CCTV</t>
  </si>
  <si>
    <t>Terpantaunya kondisi keamanan lingkungan</t>
  </si>
  <si>
    <t>Warga lokasi rawan kejahatan</t>
  </si>
  <si>
    <t>2 paket</t>
  </si>
  <si>
    <t>Pengembangan Potensi wisata</t>
  </si>
  <si>
    <t>Keindahan lingkungan</t>
  </si>
  <si>
    <t>Warga kelurahan klitren</t>
  </si>
  <si>
    <t>1   Paket</t>
  </si>
  <si>
    <t>22.02</t>
  </si>
  <si>
    <t>Pendampingan untuk UMKM</t>
  </si>
  <si>
    <t>sebagai media sharing dan menguatkan jaringan pelaku UMKM</t>
  </si>
  <si>
    <t>Pengurus dan anggota UMKM kelurahan</t>
  </si>
  <si>
    <t>Pelatihan Pembuatan souvenir</t>
  </si>
  <si>
    <t>Peningkatan usaha dan ekonomi keluarga</t>
  </si>
  <si>
    <t>Pelatihan Tataboga</t>
  </si>
  <si>
    <t>13.11</t>
  </si>
  <si>
    <t>Sarasehan program KB/KKBPK, untuk mensinergkan program kegiatan BKB, KBR, BKL, dan POSBINDU</t>
  </si>
  <si>
    <t>Sinerginya program-program di lembaga kampung KB Iromejan</t>
  </si>
  <si>
    <t>Pengurus Kampung KB dan warga Iromejan</t>
  </si>
  <si>
    <t>Kampung KB Iromejan</t>
  </si>
  <si>
    <t>30 orang x 3 kali</t>
  </si>
  <si>
    <t>Pemberdayaan masyarakat di wilayah</t>
  </si>
  <si>
    <t>Penguatan kelembagaan Pengurus Kampung</t>
  </si>
  <si>
    <t>Mensinergikan kelembagaan pengurus kampung dengan lembaga lainnya</t>
  </si>
  <si>
    <t>Pengurus kampung</t>
  </si>
  <si>
    <t xml:space="preserve"> 1 paket</t>
  </si>
  <si>
    <t>26.05</t>
  </si>
  <si>
    <t>Pengadaan sarana dan prasarana kantor Kelurahan Klitren berupa PC dan printer dan kamera digital</t>
  </si>
  <si>
    <t>Tersedianya sarana dan prasana kantor yang memadai untuk pelayanan masyarakat</t>
  </si>
  <si>
    <t>Perangkat Kelurahan Klitren</t>
  </si>
  <si>
    <t>2 unit PC dan 1 set printer</t>
  </si>
  <si>
    <t>Pengadaan seperangkat gamelan tradisional gaya Yogyakarta</t>
  </si>
  <si>
    <t>Mendukung kegiatan seni dan budaya</t>
  </si>
  <si>
    <t>Paguyuban Seni dan Budaya Klitren</t>
  </si>
  <si>
    <t xml:space="preserve">Pembentukan Kelurahan Rintisan Budaya </t>
  </si>
  <si>
    <t>Terbentuknya Klitren sebagai Kelurahan Rintisan Budaya</t>
  </si>
  <si>
    <t>Infrastruktur Kawasan Permukiman</t>
  </si>
  <si>
    <t>Revitalisasi sumur &amp; MCK</t>
  </si>
  <si>
    <t>Warga wilayah RW 16</t>
  </si>
  <si>
    <t>RW 16</t>
  </si>
  <si>
    <t>3  Titik</t>
  </si>
  <si>
    <t>Bangunan Gedung Pemerintah</t>
  </si>
  <si>
    <t>Pembangunan gedung Kantor Kelurahan Klitren</t>
  </si>
  <si>
    <t>Terfasilitasinya gedung kantor yang representasi untuk meningkatkan kinerja dan pelayanan masyarakat</t>
  </si>
  <si>
    <t>Masyarakat kelurahan klitren</t>
  </si>
  <si>
    <t>Rt. 42, Rw 11 Kampung Kepuh Balapan</t>
  </si>
  <si>
    <t>Pemeliharaan Balai Warga Iromejan, kondisi balai warga dirasa sudah tidak representatif untuk kegiatan masyarakat</t>
  </si>
  <si>
    <t>Bangunan balai warga iromejan menjadi representatif untuk kegiatan pertemuan warga</t>
  </si>
  <si>
    <t>Warga kampung Iromejan dan kelurahan Klitren</t>
  </si>
  <si>
    <t>Rt. 36, Rw 09 Kampung Iromejan</t>
  </si>
  <si>
    <t>Pertanahan danTata Ruang</t>
  </si>
  <si>
    <t>Pengadaan tanah untuk RTHP kampung Iromejan,dengan obyek SHM No.M.877/Ktn, luas 395 m², atas nama pemegang Hak TUKINEM</t>
  </si>
  <si>
    <t>Terfasilitasinya tanah untuk RTHP kampung Iromejan</t>
  </si>
  <si>
    <t>395 m²</t>
  </si>
  <si>
    <t>26.09</t>
  </si>
  <si>
    <t>Pemasangan PJUL dan PJUK untuk mendukung keamanan lingkungan</t>
  </si>
  <si>
    <t>Lingkungan permukiman menjadi terang</t>
  </si>
  <si>
    <t>Wilayah Kelurahan Klitren</t>
  </si>
  <si>
    <t>35 unit</t>
  </si>
  <si>
    <t>Pemeliharaan jalan aspal</t>
  </si>
  <si>
    <t>warga</t>
  </si>
  <si>
    <t>RW.09</t>
  </si>
  <si>
    <t>200 m2</t>
  </si>
  <si>
    <t>Pelumpuran SAL</t>
  </si>
  <si>
    <t>Kelancaran aliran saluran air limbah</t>
  </si>
  <si>
    <t>Warga Kampung Balapan</t>
  </si>
  <si>
    <t>Rw. 16 kampung Balapan</t>
  </si>
  <si>
    <t>26.13</t>
  </si>
  <si>
    <t>Renovasi RTLH</t>
  </si>
  <si>
    <t>Terpenuhinya rumah yang memenuhi standar kesehatan</t>
  </si>
  <si>
    <t>RW 08</t>
  </si>
  <si>
    <t>1  Rumah</t>
  </si>
  <si>
    <t>26.15</t>
  </si>
  <si>
    <t>Keamanan dan ketertiban lingkungan</t>
  </si>
  <si>
    <t>27   Titik</t>
  </si>
  <si>
    <t>Pengadaan Seragam LINMAS</t>
  </si>
  <si>
    <t>Untuk mendukung ketugasan Linmas</t>
  </si>
  <si>
    <t>Anggota Sat Linmas Kelurahan Klitren</t>
  </si>
  <si>
    <t xml:space="preserve"> 65  stell</t>
  </si>
  <si>
    <t>Sapa Pondokan dan Perizinan, untuk beberapa pondokan yang belum memiliki izin</t>
  </si>
  <si>
    <t>Terciptanya Pondokan yang tertib sehingga mendukung Kamtibmas di wilayah</t>
  </si>
  <si>
    <t>Warga dan pemilik Pondokan kelurahan klitren</t>
  </si>
  <si>
    <t>Kampung Klitren Lor, Iromejan, Kepuh Balapan</t>
  </si>
  <si>
    <t>12 kali x 3 kampung</t>
  </si>
  <si>
    <t>SatPolPP</t>
  </si>
  <si>
    <t>Pemberdayaan Masyarakat di wilayah</t>
  </si>
  <si>
    <t>Jasa Fasilitas Kelurahan</t>
  </si>
  <si>
    <t>Untuk mendukung peningkatan kinerja kelurahan</t>
  </si>
  <si>
    <t>Tenaga fasilitator kelurahan</t>
  </si>
  <si>
    <t>12 bulan</t>
  </si>
  <si>
    <t>Fasilitasi lembaga kemasyarakatan</t>
  </si>
  <si>
    <t>meningkatkan kinerja lembaga kemasyarakatan</t>
  </si>
  <si>
    <t>Lembaga kemasyarakatan kelurahan klitren</t>
  </si>
  <si>
    <t>16 lembaga</t>
  </si>
  <si>
    <t>Fasilitasi belanja kuota data internet</t>
  </si>
  <si>
    <t>untuk kelancaran komunikasi dalam rangka pelayanan masyarakat</t>
  </si>
  <si>
    <t>Pengurus RT dan RW</t>
  </si>
  <si>
    <t>79 orang</t>
  </si>
  <si>
    <t>Fasilitasi lembaga di lingkungan kelurahan</t>
  </si>
  <si>
    <t xml:space="preserve">Terfasilitasinya, rapat koordinasi untuk lembaga di lingkungan internal kelurahan </t>
  </si>
  <si>
    <t>Sekretariat dan kasi kelurahan</t>
  </si>
  <si>
    <t>5 lembaga</t>
  </si>
  <si>
    <t xml:space="preserve">Terciptanya keamanan dan ketentraman masyarakat </t>
  </si>
  <si>
    <t>Anggota Satuan Linmas Kelurahan Klitren</t>
  </si>
  <si>
    <t>200 orang x 1 hari</t>
  </si>
  <si>
    <t>Mensinergikan kinerja kelembagaan kelurahan</t>
  </si>
  <si>
    <t>Pembinaan, pendampingan</t>
  </si>
  <si>
    <t>104 orang x 4 kali</t>
  </si>
  <si>
    <t>Peningkatan kualitas belajar masyarakat</t>
  </si>
  <si>
    <t>Peserta didik dan warga masyarakat</t>
  </si>
  <si>
    <t>Rw 01 - 16 kel klitren</t>
  </si>
  <si>
    <t>Dinas kesehatan</t>
  </si>
  <si>
    <t>DINAS PERHUBUNGAN</t>
  </si>
  <si>
    <t>KELURAHAN TERBAN</t>
  </si>
  <si>
    <t>Pembuatan taman edukasi untuk anak-anak, olahraga dan penghijauan lingkungan, dibangunnya taman untuk menarik wisatawan agar datang ke kampung Sagan</t>
  </si>
  <si>
    <t>dengan banyaknya tamu yg datang bisa meningkatkan perekonomian warga</t>
  </si>
  <si>
    <t>Kampung Sagan</t>
  </si>
  <si>
    <r>
      <t xml:space="preserve">Konsep Kelurahan: </t>
    </r>
    <r>
      <rPr>
        <i/>
        <sz val="11"/>
        <color theme="1"/>
        <rFont val="Calibri"/>
        <family val="2"/>
      </rPr>
      <t>Kelurahan Budaya, lingkungan bersih dan tertata serta nyaman huni</t>
    </r>
  </si>
  <si>
    <t>Gelar Upacara Adat</t>
  </si>
  <si>
    <t>Acara budaya Ruwahan Kampung Terban</t>
  </si>
  <si>
    <t>kampung TERBAN</t>
  </si>
  <si>
    <t>DINAS KEBUDAYAAN</t>
  </si>
  <si>
    <t>Pengadaan Gamelan Jatilan</t>
  </si>
  <si>
    <t>menunjang promosi wisata</t>
  </si>
  <si>
    <t>kampung Terban</t>
  </si>
  <si>
    <t>DINAS KEBUDAYAAN DIY</t>
  </si>
  <si>
    <t>Pengadaan seragam bergodo</t>
  </si>
  <si>
    <t>30 set</t>
  </si>
  <si>
    <t>Pekerjaan balai budaya</t>
  </si>
  <si>
    <t>Kegiatan LKT</t>
  </si>
  <si>
    <t>15 x 15</t>
  </si>
  <si>
    <t>27.01</t>
  </si>
  <si>
    <t>Pemasangan wifi</t>
  </si>
  <si>
    <t>RW 01 dan RW 06</t>
  </si>
  <si>
    <t>DINAS KOMUNIKASI INFORMASI DAN PERSANDIAN</t>
  </si>
  <si>
    <t>Perencanaan, pembangunan dan pemeliharaan penghijauan (taman, pohon perindang dan/atau pergola) yang berada di jalan lingkungan/permukiman</t>
  </si>
  <si>
    <t xml:space="preserve">Tamanisasi di kampung Resonegaran-RW 12 </t>
  </si>
  <si>
    <t>untuk keindahan</t>
  </si>
  <si>
    <t>RW 12, jl sagan</t>
  </si>
  <si>
    <t>DINAS LINGKUNGAN HIDUP</t>
  </si>
  <si>
    <t>Pelatihan Kepariwisataan di wilayah</t>
  </si>
  <si>
    <t>Pelatihan kampung wisata</t>
  </si>
  <si>
    <t>kampung terban</t>
  </si>
  <si>
    <t>DINAS PARIWISATA DIY</t>
  </si>
  <si>
    <t>Pelatihan Pertanian Perkotaan di wilayah</t>
  </si>
  <si>
    <t>Budi daya ikan hias</t>
  </si>
  <si>
    <t>menciptakan lowongan kerja,meningkatkan perekonomian warga</t>
  </si>
  <si>
    <t>Rw 01</t>
  </si>
  <si>
    <t>DINAS PERIKANAN DAN KELAUTAN DIY</t>
  </si>
  <si>
    <t>24.05</t>
  </si>
  <si>
    <t>Pensertifikatan tanah aset pemkot</t>
  </si>
  <si>
    <t>Proses sertifikasi tanah menjadi milik Pemkot</t>
  </si>
  <si>
    <t>Sarana prasarana fasum bertambah</t>
  </si>
  <si>
    <t>Kampung Purbonegraran</t>
  </si>
  <si>
    <t>DINAS PERTANAHAN DAN TATA RUANG</t>
  </si>
  <si>
    <t>Pembibitan lele damber</t>
  </si>
  <si>
    <t>menambah gizi masyarakat,meningkatkan perekonomian warga</t>
  </si>
  <si>
    <t>RW 01,02,03,04,05,06</t>
  </si>
  <si>
    <t>6 paket</t>
  </si>
  <si>
    <t>DINAS PERTANIAN DAN PERIKANAN</t>
  </si>
  <si>
    <t>Penanaman bibit buah</t>
  </si>
  <si>
    <t>kualitas udara jadi bagus,menambah perekonomian warga,linkungan menjadi asri</t>
  </si>
  <si>
    <t>600 pohon</t>
  </si>
  <si>
    <t>Pelatihan Boga di wilayah</t>
  </si>
  <si>
    <t>Pelatihan pengolahan makanan + Hibah Alat</t>
  </si>
  <si>
    <t>DINSOSNAKERTRANS DIY</t>
  </si>
  <si>
    <t>Pelatihan Menjahit Dasar tingkat kota</t>
  </si>
  <si>
    <t>Pelatihan menjahit + Hibah Alat</t>
  </si>
  <si>
    <t>Pembentukan Kampung ramah anak</t>
  </si>
  <si>
    <t>Anak suka main</t>
  </si>
  <si>
    <t>Anak</t>
  </si>
  <si>
    <t>RW 7, 8, 9</t>
  </si>
  <si>
    <t>Pemeliharan Penerangan Jalan Umum (PJU) Lingkungan di wilayah</t>
  </si>
  <si>
    <t>Lampu penerangan jalan</t>
  </si>
  <si>
    <t>Terang dan aman</t>
  </si>
  <si>
    <t>Pengguna jalan</t>
  </si>
  <si>
    <t>Gang Poncowolo III rt 04,RT 05</t>
  </si>
  <si>
    <t>10 buah</t>
  </si>
  <si>
    <t>Pemeliharaan pos ronda di wilayah</t>
  </si>
  <si>
    <t>kenyamanan dan keamanan</t>
  </si>
  <si>
    <t>warga RT 42 dan 46</t>
  </si>
  <si>
    <t>RT 42 dan 46</t>
  </si>
  <si>
    <t xml:space="preserve">1 unit </t>
  </si>
  <si>
    <t xml:space="preserve">Penataan Lingkungan Permukiman </t>
  </si>
  <si>
    <t>Jalan inspeksi dan saluran air limbah</t>
  </si>
  <si>
    <t>Lingkungan menjadi indah dan rapi</t>
  </si>
  <si>
    <t>Kampung Purbonegaran RT 50</t>
  </si>
  <si>
    <t xml:space="preserve">2 unit </t>
  </si>
  <si>
    <t>Balai Perrtemuan</t>
  </si>
  <si>
    <t>Kegiatan lancar</t>
  </si>
  <si>
    <t>RT 31 dan 32</t>
  </si>
  <si>
    <t>3.01</t>
  </si>
  <si>
    <t>Rumah Tidak Layak Huni</t>
  </si>
  <si>
    <t>RTLH</t>
  </si>
  <si>
    <t>Wilayah bersih</t>
  </si>
  <si>
    <t>RW 7, 8</t>
  </si>
  <si>
    <t>2.04</t>
  </si>
  <si>
    <t>Pengaspalan Jl. Sagan Utara</t>
  </si>
  <si>
    <t>Jalan bagus</t>
  </si>
  <si>
    <t>Perbatasan RT 41 sampai RT 43 RW 09</t>
  </si>
  <si>
    <t>RW 09</t>
  </si>
  <si>
    <t>8,2 m</t>
  </si>
  <si>
    <t xml:space="preserve">Renovasi balai serbaguna RW 12 diantaranya =   </t>
  </si>
  <si>
    <t>Untuk kenyamanan</t>
  </si>
  <si>
    <t>1 unit(penggantian asbes dan penggantian usuk)</t>
  </si>
  <si>
    <t xml:space="preserve">Penanda prasasti gang Resonegaran sebanyak 4 prasasti </t>
  </si>
  <si>
    <t>untuk mempromosikan wisata kampung resonegaran</t>
  </si>
  <si>
    <t>gang Resonegaran 1 sampai 4 di wilayah RW 12</t>
  </si>
  <si>
    <t>4 titik</t>
  </si>
  <si>
    <t xml:space="preserve">Pembangunan Talud Permukiman </t>
  </si>
  <si>
    <t>Perbaikan dan pembuatan talud pemukiman</t>
  </si>
  <si>
    <t>Pengantisipasian terjadinya tanah longsor dan tidak membahayakan warga yang berada di bantaran code</t>
  </si>
  <si>
    <t>Warga sepanjang talud merasa nyaman</t>
  </si>
  <si>
    <t>75m</t>
  </si>
  <si>
    <t>Rumah warga sepanjang talud merasa nyaman</t>
  </si>
  <si>
    <t>RT 02 Rumah bapak Riyadi</t>
  </si>
  <si>
    <t>20m</t>
  </si>
  <si>
    <t>RT 02 Rumah bapak Jumadi sampai utara jembatan sarjito</t>
  </si>
  <si>
    <t>150m</t>
  </si>
  <si>
    <t>Peningkatan dan pemeliharaan jalan dengan konstruksi non aspal di wilayah</t>
  </si>
  <si>
    <t>Pemasangan conblok</t>
  </si>
  <si>
    <t>jalan menjadi aman, nyaman, dan rapi.</t>
  </si>
  <si>
    <t>Warga RT 04 dan masyarakat pengguna jalan</t>
  </si>
  <si>
    <t>Gang Poncowolo III RT 04 RW 01</t>
  </si>
  <si>
    <t>72,5m</t>
  </si>
  <si>
    <t xml:space="preserve">Perbaikan jalan </t>
  </si>
  <si>
    <t>Keselamatan berkendaraan</t>
  </si>
  <si>
    <t>warga rt 05</t>
  </si>
  <si>
    <t>RT 05 RW 01</t>
  </si>
  <si>
    <t>200m2</t>
  </si>
  <si>
    <t>Pembangunan dan Pemeliharaan Mandi Cuci Kakus (MCK) umum dan kelengkapannya di wilayah</t>
  </si>
  <si>
    <t>Pembuatan instalasi air dengan pemasangan pompa pompa air di setiap mata air yg ada dikampung terban</t>
  </si>
  <si>
    <t>meringankan beban masyarakat utk mendapatkan air bersih</t>
  </si>
  <si>
    <t>RW 01,04,05,06</t>
  </si>
  <si>
    <t>8 paket</t>
  </si>
  <si>
    <t>Pembuatan taman /spots selfi</t>
  </si>
  <si>
    <t>Perbaikan atap rumah cacing</t>
  </si>
  <si>
    <t>Merasa nyaman dan aman bagi warga yang menempati</t>
  </si>
  <si>
    <t>Warga pemukiman rumah singgah cacing</t>
  </si>
  <si>
    <t>Rumah singgah cacing</t>
  </si>
  <si>
    <t>45m sisi atas dan 15m sisi bawah</t>
  </si>
  <si>
    <t>Perbaikan pagar rumah cacing</t>
  </si>
  <si>
    <t>Tidak ada pengaman dari bibir talud mengingat jalan sempit dan banyak anak kecil</t>
  </si>
  <si>
    <t>Mengantisipasi terjadinya kecelakaan jatuh ke bawah talud</t>
  </si>
  <si>
    <t>warga pemukiman rumah singgah cacing</t>
  </si>
  <si>
    <t>30m</t>
  </si>
  <si>
    <t>Pembuatan saluran SAL dan SAH</t>
  </si>
  <si>
    <t>agar tidak membahayakan sehingga terjadi kelongsoran dan menimbulkan pencemaran</t>
  </si>
  <si>
    <t>warga sepanjang talud merasa nyaman</t>
  </si>
  <si>
    <t>50m</t>
  </si>
  <si>
    <t>Perbaikan jalan gang masuk gapura timur jembatan</t>
  </si>
  <si>
    <t>Tidak menimbulkan lubang jalan, air bisa mengalir langsung ke jalan/SAH</t>
  </si>
  <si>
    <t>warga pemukiman timur jembatan sardjito</t>
  </si>
  <si>
    <t>RT 02, Gapura masuk timur jembatan sarjito</t>
  </si>
  <si>
    <t>Perbaikan saluran SAH dan SAL</t>
  </si>
  <si>
    <t>air bisa mengalir sesuai jalurnya</t>
  </si>
  <si>
    <t>2.07</t>
  </si>
  <si>
    <t>Pemasangan PJU</t>
  </si>
  <si>
    <t>Wilayah kelihatan terang dan mendukung untuk keamanan warga</t>
  </si>
  <si>
    <t>10 titik</t>
  </si>
  <si>
    <t xml:space="preserve">Pengecatan konblok yang sudah jadi sepanjang l = 4 m, p = 65 m </t>
  </si>
  <si>
    <t>menambah keindahan</t>
  </si>
  <si>
    <t>260 m2</t>
  </si>
  <si>
    <t>2.08</t>
  </si>
  <si>
    <t xml:space="preserve">PJU Kampung </t>
  </si>
  <si>
    <t xml:space="preserve">kenyamanan dan keamanan </t>
  </si>
  <si>
    <t xml:space="preserve">Warga kampung </t>
  </si>
  <si>
    <t>Rw 10,  RT 45, RT 46</t>
  </si>
  <si>
    <t>Perbaikan Konblok karena jalan gang rusak</t>
  </si>
  <si>
    <t>Kenyamanan pengguna jalan dan akses perekonomian warga</t>
  </si>
  <si>
    <t>RT 34, RT 32 RT 42</t>
  </si>
  <si>
    <t>485 m2</t>
  </si>
  <si>
    <t>Peningkatan dan perbaikan jalan inspeksi (jalan pinggir sungai) di wilayah</t>
  </si>
  <si>
    <t>Pembuatan gapura stainles untuk keindahan wilayah</t>
  </si>
  <si>
    <t>Sebagai Identitas wilayah RW 09</t>
  </si>
  <si>
    <t>RT 42 RW 09</t>
  </si>
  <si>
    <t>3x2 meter</t>
  </si>
  <si>
    <t xml:space="preserve">Pemeliharaan SPAH </t>
  </si>
  <si>
    <t xml:space="preserve">Untuk Sanitasi lingkungan </t>
  </si>
  <si>
    <t xml:space="preserve">Rt 45,46, 48,49,50,51,53 </t>
  </si>
  <si>
    <t>41 unit</t>
  </si>
  <si>
    <t xml:space="preserve">Pembuatan Pergola </t>
  </si>
  <si>
    <t xml:space="preserve">Keindahan ,kenyamanan </t>
  </si>
  <si>
    <t xml:space="preserve">Rt 52, 46 </t>
  </si>
  <si>
    <t xml:space="preserve">8 unit </t>
  </si>
  <si>
    <t xml:space="preserve">Pelatihan budidaya tanaman herbal dan sayur </t>
  </si>
  <si>
    <t xml:space="preserve">Menumbuhkan cinta tanaman </t>
  </si>
  <si>
    <t>RW 10, 11</t>
  </si>
  <si>
    <t xml:space="preserve">30 orang </t>
  </si>
  <si>
    <t>Pengolahan Sampah Organik : Pembuatan Komposter Komunal di wilayah</t>
  </si>
  <si>
    <t>Pelatihan mengolah sampah</t>
  </si>
  <si>
    <t>Kesehatan lingkungan</t>
  </si>
  <si>
    <t xml:space="preserve">Konblokisasi gang Resonegaran  </t>
  </si>
  <si>
    <t>kenyamanan pengguna jalan</t>
  </si>
  <si>
    <t>wilayah RW 12</t>
  </si>
  <si>
    <t>100 m2</t>
  </si>
  <si>
    <t xml:space="preserve"> Pelumpuran SPAH , tersumbatnya aluran air sehingga mengakibatkan air mengenang kejalan yang sering dilalui masyarakat</t>
  </si>
  <si>
    <t>di wilayah RT 57 RW 12</t>
  </si>
  <si>
    <t>5 titik</t>
  </si>
  <si>
    <t>Pembuatan SPAH</t>
  </si>
  <si>
    <t>Pintu besi gang</t>
  </si>
  <si>
    <t>Masyarakat aman</t>
  </si>
  <si>
    <t>RT 41 RW 09</t>
  </si>
  <si>
    <t>2.09</t>
  </si>
  <si>
    <t>Pemeliharaan PJU Lingkungan (PJU Lingkungan Kampung)</t>
  </si>
  <si>
    <t>Penerangan jalan umum</t>
  </si>
  <si>
    <t>Masyarakat mengurangi kriminal</t>
  </si>
  <si>
    <t>RT 43 RW 09</t>
  </si>
  <si>
    <t>JUMLAH</t>
  </si>
  <si>
    <t>Dinas Kebudayan</t>
  </si>
  <si>
    <t>Dinas Kominfosan</t>
  </si>
  <si>
    <t>RT 02, blkg  rumah Pak M.Arif sd rumah Bu Suratmi bagian atas, bagian bawah rumah bu Ryna sd Mas Dayat, 3 sap talud</t>
  </si>
  <si>
    <t>RT 02, blkg rumah Pak M.Arif sd rumah Bu Suratmi bagian atas di salurkan ke IPAL bawah</t>
  </si>
  <si>
    <t>melestarikan dan mengangkat potensi budaya di wilayah,menjadi dayatarik wisatawan,mengangkat UMKM</t>
  </si>
  <si>
    <t>11.04</t>
  </si>
  <si>
    <t>Sinau Pancasila</t>
  </si>
  <si>
    <t>Sosialisasi dan pembinaan ideologi, penanaman jiwa nasionalisme</t>
  </si>
  <si>
    <t>Meningkatkan kesadaran bela negara</t>
  </si>
  <si>
    <t>Kegiatan muda mudi</t>
  </si>
  <si>
    <t>12 RW</t>
  </si>
  <si>
    <t>11.06</t>
  </si>
  <si>
    <t>Penguatan Kader Anti NAPZA</t>
  </si>
  <si>
    <t>Penyuluhan Bahaya NAPZA dan Narkoba</t>
  </si>
  <si>
    <t>Pemahaman warga masyarakat tentang bahaya NAPZA</t>
  </si>
  <si>
    <t>BNN</t>
  </si>
  <si>
    <t>10.02</t>
  </si>
  <si>
    <t>Penyuluhan pencegahan dan penanggulangan Kebakaran</t>
  </si>
  <si>
    <t xml:space="preserve">Sarasehan edukasi penanggulangan bencana </t>
  </si>
  <si>
    <t xml:space="preserve">Edukasi warga </t>
  </si>
  <si>
    <t xml:space="preserve">50 orang </t>
  </si>
  <si>
    <t>Pelatihan Budaya untuk peningkatan kapasitas di wilayah</t>
  </si>
  <si>
    <t>Pelatihan MC Basa Jawa</t>
  </si>
  <si>
    <t>Meningkatkan kemampuan masyarakat mengenal budaya tertentu</t>
  </si>
  <si>
    <t>Pelatihan Bergodo</t>
  </si>
  <si>
    <t>Kp. Terban lebih dikenal masyarakat dll</t>
  </si>
  <si>
    <t>Warga Kp. Terban</t>
  </si>
  <si>
    <t>Kp. Terban</t>
  </si>
  <si>
    <t>Pelatihan MC-Pidato Bahasa Jawa</t>
  </si>
  <si>
    <t>Meningkatkan ketrampilan masyarakat mengenai budaya jawa</t>
  </si>
  <si>
    <t>13.04</t>
  </si>
  <si>
    <t>Pelatihan penimbangan, pengkuran tinggi badan dan plotting data kesehatan balita pada Buku KIA bagi kader POSYANDU di wilayah</t>
  </si>
  <si>
    <t xml:space="preserve">Pelatihan kader kesehatan </t>
  </si>
  <si>
    <t xml:space="preserve">peningkatan kemampuan dan regenerasi kader </t>
  </si>
  <si>
    <t xml:space="preserve">Kader </t>
  </si>
  <si>
    <t xml:space="preserve">60 orang </t>
  </si>
  <si>
    <t>DINAS KESEHATAN</t>
  </si>
  <si>
    <t>10.03</t>
  </si>
  <si>
    <t>Simulasi kebakaran</t>
  </si>
  <si>
    <t xml:space="preserve">Pelatihan P3K bagi warga </t>
  </si>
  <si>
    <t>RW 10. 11</t>
  </si>
  <si>
    <t>13.05</t>
  </si>
  <si>
    <t>Pelatihan Kelompok Pendamping Ibu Menyusui di wilayah</t>
  </si>
  <si>
    <t xml:space="preserve">Revitalisasi Posyandu, Pos Bindu, </t>
  </si>
  <si>
    <t xml:space="preserve">Kelancaran pelaksanaan kegiatan pelayanan kesehatan dasar warga </t>
  </si>
  <si>
    <t>RW 10,11</t>
  </si>
  <si>
    <t xml:space="preserve">2 paket a. 50 orang </t>
  </si>
  <si>
    <t>Pemasangan hotspot  WifI</t>
  </si>
  <si>
    <t>untuk memenuhi hak warga dalam mengakses informasi</t>
  </si>
  <si>
    <t>Pemasangan CCTV di wilayah</t>
  </si>
  <si>
    <t>Untuk menjaga lkeamanan lingkungan</t>
  </si>
  <si>
    <t>Merti Bumi</t>
  </si>
  <si>
    <t>Paket</t>
  </si>
  <si>
    <t>DINAS PARIWISATA</t>
  </si>
  <si>
    <t>Pelatihan Ketoprak</t>
  </si>
  <si>
    <t>Pelatihan Mocopat</t>
  </si>
  <si>
    <t>Pelatihan Tari</t>
  </si>
  <si>
    <t>Pelatihan Jatilan</t>
  </si>
  <si>
    <t>Pelatihan Macapat</t>
  </si>
  <si>
    <t xml:space="preserve"> Fasilitasi Lembaga Kemasyarakatan Kelurahan</t>
  </si>
  <si>
    <t>Pelatihan rutin Kethoprak</t>
  </si>
  <si>
    <t>Fasilitasi Lembaga Kemasyarakatan Kelurahan</t>
  </si>
  <si>
    <t>Pelatihan rutin Bregada</t>
  </si>
  <si>
    <t>Pelatihan rutin Tari</t>
  </si>
  <si>
    <t>Pelatihan karawitan</t>
  </si>
  <si>
    <t>21.02</t>
  </si>
  <si>
    <t>Festival Kampung Wisata / menampilkan seluruh potensi wisata yang ada pada suatu kampung wisata</t>
  </si>
  <si>
    <t xml:space="preserve">Bench Marking Desa Wisata Percontohan </t>
  </si>
  <si>
    <t>Mengembangkan potensi kewiraswastaan</t>
  </si>
  <si>
    <t>21.04</t>
  </si>
  <si>
    <t>Pentas Kawasan / menampilkan seluruh potensi wisata pada suatu kawasan destinasi wisata dan sekitarnya terutama destinasi wisata baru yang belum dikenal</t>
  </si>
  <si>
    <t>Gelar Pasar Jawa</t>
  </si>
  <si>
    <t>Untuk promosi pariwisata</t>
  </si>
  <si>
    <t>Workshop bangunan heritage</t>
  </si>
  <si>
    <t>Untuk melestarikan bangunan kuno</t>
  </si>
  <si>
    <t>30 org</t>
  </si>
  <si>
    <t>DINAS PARIWISATA  DIY</t>
  </si>
  <si>
    <t>Pelatihan Tanggap Bencana</t>
  </si>
  <si>
    <t>Mendekatkan masyarakat dalam mitigasi kebencanaan</t>
  </si>
  <si>
    <t>2.11</t>
  </si>
  <si>
    <t>Rambu lalin</t>
  </si>
  <si>
    <t>Aman kecelakaan</t>
  </si>
  <si>
    <t xml:space="preserve">RW 07 </t>
  </si>
  <si>
    <t>RT 31, 32, 34, 35</t>
  </si>
  <si>
    <t>Cermin Tikungan di wilayah</t>
  </si>
  <si>
    <t>Jln gang/tikungan ramai perlu cermin cembung</t>
  </si>
  <si>
    <t>Masyarakat sekitar</t>
  </si>
  <si>
    <t>RT 39 RW 8, RT 31 RW 7, RT 43 RW 09</t>
  </si>
  <si>
    <t>8 titik</t>
  </si>
  <si>
    <t>Kaca cembung</t>
  </si>
  <si>
    <t>Keselamatan berkendara</t>
  </si>
  <si>
    <t xml:space="preserve"> gang poncowolo </t>
  </si>
  <si>
    <t xml:space="preserve">Penguatan manajemen Karang Mitra Usaha (KAMU) </t>
  </si>
  <si>
    <t>Pelatihan Manajemen UMKM</t>
  </si>
  <si>
    <t>Peningkatan perekonomian dan pendapatan</t>
  </si>
  <si>
    <t>18.02</t>
  </si>
  <si>
    <t>Pendampingan Sentra bagi Industri Kecil Menengah (IKM)</t>
  </si>
  <si>
    <t>Pelatihan Membuat Blangkon</t>
  </si>
  <si>
    <t>Pelatihan Menjahit Surjan</t>
  </si>
  <si>
    <t>25.03</t>
  </si>
  <si>
    <t>Rintisan Kampung Pangan Lestari (RKPL)</t>
  </si>
  <si>
    <t xml:space="preserve">Pembuatan sarana pembibitan </t>
  </si>
  <si>
    <t>Memanfaatkan lahan</t>
  </si>
  <si>
    <t>DINAS PERTANIAN DAN PANGAN</t>
  </si>
  <si>
    <t>25.06</t>
  </si>
  <si>
    <t>Pendampingan Kelompok Tani</t>
  </si>
  <si>
    <t xml:space="preserve">Bimbingan Tehnis bagi anggota KWT </t>
  </si>
  <si>
    <t>Ketahanan pangan</t>
  </si>
  <si>
    <t>Lorong sayur, bunga, buah, obat</t>
  </si>
  <si>
    <t>Untuk ketahanan pangan keluarga</t>
  </si>
  <si>
    <t>Fasilitasi Kegiatan Keagamaan</t>
  </si>
  <si>
    <t>Pelatihan ketrampilan UPS (Unit Pengelola Sosial)</t>
  </si>
  <si>
    <t>Pengembangan ketrampilan untuk peningkatan perekonomian</t>
  </si>
  <si>
    <t>DINSOSNAKERTRANS</t>
  </si>
  <si>
    <t>Publikasi kegiatan kepada 12 RW dan 4 kampung</t>
  </si>
  <si>
    <t>Keterbukaan informasi</t>
  </si>
  <si>
    <t>70 orang</t>
  </si>
  <si>
    <t>13,.08</t>
  </si>
  <si>
    <t xml:space="preserve"> Pelatihan Penguburan Jenazah dengan Protokol Kesehatan di wilayah</t>
  </si>
  <si>
    <t>Pelatihan Pangrutilaya</t>
  </si>
  <si>
    <t>Untuk meningkatkan kapasitas warga dalam pelayanan sosial</t>
  </si>
  <si>
    <t>Perencanaan, pengadaan dan pemeliharaan sarana dan prasarana pengelolaan persampahan di wilayah</t>
  </si>
  <si>
    <t>Peremajaan bak sampah</t>
  </si>
  <si>
    <t>Untuk kebersihan lingkungan</t>
  </si>
  <si>
    <t>23.01</t>
  </si>
  <si>
    <t xml:space="preserve">Pelatihan Pengelolaan Perlindungan Anak Terpadu Berbasis Masyarakat (PATBM) </t>
  </si>
  <si>
    <t xml:space="preserve">Sosialisasi  Perlindungan Anak Berbasis Berbasis Masyarakat (PATBM) </t>
  </si>
  <si>
    <t>Masyarakat di wilayah bisa mengetahui cara pencegahan dan pelaporan apabila ada tindak kekerasan terhadap anak</t>
  </si>
  <si>
    <t>Masyarakat dan Pengurus RT, RW, PKK dan Tokoh Masyarakat</t>
  </si>
  <si>
    <t>Kel. Terban</t>
  </si>
  <si>
    <t xml:space="preserve">40 orang </t>
  </si>
  <si>
    <t>Monev Kegiatan Paud di Wilayah; Gebyar PAUD di wilayah</t>
  </si>
  <si>
    <t>Gelar Momong Bocah</t>
  </si>
  <si>
    <t xml:space="preserve">Untuk pendidikan dan pembelajaran </t>
  </si>
  <si>
    <t>Gelar Sayang Ibu</t>
  </si>
  <si>
    <t>7.11</t>
  </si>
  <si>
    <t>Skrining Untuk Lansia, Penyuluhan tentang kesehatan Lansia</t>
  </si>
  <si>
    <t>Gelar Lansia</t>
  </si>
  <si>
    <t>Lansia menjadi lebih produktif dan mandiri</t>
  </si>
  <si>
    <t>Pengembangan kualitas hidup lansia</t>
  </si>
  <si>
    <t>Pelatihan SIM PKK</t>
  </si>
  <si>
    <t>Peningkatan kapasitas pengurus PKK</t>
  </si>
  <si>
    <t>PKK</t>
  </si>
  <si>
    <t>15.10</t>
  </si>
  <si>
    <t>Fasilitasi dalam penyelenggaraan senam masal</t>
  </si>
  <si>
    <t>Senam Masal</t>
  </si>
  <si>
    <t>Ruang kerja BKM di komplek LPMK</t>
  </si>
  <si>
    <t>Untuk kenyamanan bekerja</t>
  </si>
  <si>
    <t>BKM</t>
  </si>
  <si>
    <t>2.01</t>
  </si>
  <si>
    <t>Pembuatan SAH</t>
  </si>
  <si>
    <t>Air lancar</t>
  </si>
  <si>
    <t>RT 32, 34, 38</t>
  </si>
  <si>
    <t>15 m2</t>
  </si>
  <si>
    <t>Pemeliharaan SAL</t>
  </si>
  <si>
    <t>Wilayah sehat</t>
  </si>
  <si>
    <t>RT 32, 38</t>
  </si>
  <si>
    <t>25 m2</t>
  </si>
  <si>
    <t>Penambahan PJU</t>
  </si>
  <si>
    <t>Aman dan terang</t>
  </si>
  <si>
    <t>RW 7, 8 ,9</t>
  </si>
  <si>
    <t>35 titik</t>
  </si>
  <si>
    <t>Pelumpuran SPAH</t>
  </si>
  <si>
    <t>Kenyamanan pengguna  jalan</t>
  </si>
  <si>
    <t>RW 7, 8 , 9</t>
  </si>
  <si>
    <t>6 titik</t>
  </si>
  <si>
    <t>Pengecatan wilayah RT 50</t>
  </si>
  <si>
    <t xml:space="preserve">RT 50 </t>
  </si>
  <si>
    <t xml:space="preserve">Perawatan IPAL Komunal </t>
  </si>
  <si>
    <t xml:space="preserve">Sanitasi lingkungan </t>
  </si>
  <si>
    <t xml:space="preserve">Warga RW 10 </t>
  </si>
  <si>
    <t xml:space="preserve">Pemasangan Sal IPAL Ke sewon </t>
  </si>
  <si>
    <t>Warga RT 52 RW 11</t>
  </si>
  <si>
    <t>RT 52 RW 11</t>
  </si>
  <si>
    <t>Pengecatan Dinding Makam &amp; Renovasi Sanggar Belikkids</t>
  </si>
  <si>
    <t>Kenyamanan dan Keindahan</t>
  </si>
  <si>
    <t>Warga RT 49</t>
  </si>
  <si>
    <t>RT 49</t>
  </si>
  <si>
    <t>Revitalisasi jalan inspeksi sepanjang sungai Code</t>
  </si>
  <si>
    <t>Untuk kenyamanan masyarakat</t>
  </si>
  <si>
    <t>4.01</t>
  </si>
  <si>
    <t>Pembangunan Talud Sungai</t>
  </si>
  <si>
    <t>Pekerjaan penyambungan talud sungai</t>
  </si>
  <si>
    <t>Melindungi permukiman dan sarpras permukiman yang berbatasan dengan sungai</t>
  </si>
  <si>
    <t>4.02</t>
  </si>
  <si>
    <t>Perbaikan /Pemeliharaan Talud Sungai</t>
  </si>
  <si>
    <t>Perbaikan talud sungai</t>
  </si>
  <si>
    <t xml:space="preserve">Pekerjaan talud tebing </t>
  </si>
  <si>
    <t>2.06</t>
  </si>
  <si>
    <t>Pemeliharaan Jembatan yang tercantum dalam data dasar jembatan</t>
  </si>
  <si>
    <t>Pekerjaan Pagar Pinggir Kali</t>
  </si>
  <si>
    <t>Pek. Penambahan PJU Kampung</t>
  </si>
  <si>
    <t>Untuk keamanan dan penerangan wilayah</t>
  </si>
  <si>
    <t>Perbaikan jalan lingkungan</t>
  </si>
  <si>
    <t>Kenyamanan pengguna jalan</t>
  </si>
  <si>
    <t>SPAH</t>
  </si>
  <si>
    <t>Agar tidak ada air yang menggenang</t>
  </si>
  <si>
    <t>Pemeliharaan SAH di wilayah</t>
  </si>
  <si>
    <t>Normalisasi saluran Drainase/SAH</t>
  </si>
  <si>
    <t>Pelumpuran SAL di wilayah</t>
  </si>
  <si>
    <t>Normalisasi Saluran Air Limbah (SAL)</t>
  </si>
  <si>
    <t>Pembersihan saluran limbah untuk kenyamanan warga</t>
  </si>
  <si>
    <t>Pemeliharaan/perawatan ringan Ruang Terbuka Hijau Publik (RTHP) di wilayah</t>
  </si>
  <si>
    <t>Penataan Taman Olahraga area IPAL 1</t>
  </si>
  <si>
    <t>Penataan Taman Bermain area IPAL 2</t>
  </si>
  <si>
    <t>Revitalisasi sumber air</t>
  </si>
  <si>
    <t>Pemanfaatan sumber air untuk kepentingan warga</t>
  </si>
  <si>
    <t>Rehab tebing Pasar Terban</t>
  </si>
  <si>
    <t>Gapura wilayah</t>
  </si>
  <si>
    <t>Keindahan dan penanda wilayah</t>
  </si>
  <si>
    <t>Renovasi Balai RW</t>
  </si>
  <si>
    <t>Renovasi Balai Warga</t>
  </si>
  <si>
    <t>RW 05 (RT 21, 22, 23, 24, 25)</t>
  </si>
  <si>
    <t xml:space="preserve"> Pemeliharaan pos ronda di wilayah</t>
  </si>
  <si>
    <t>Renovasi Poskamling</t>
  </si>
  <si>
    <t>Untuk keamanan dan enyamanan warga</t>
  </si>
  <si>
    <t>Pelatihan Montessori bagi Pendidik Paud di wilayah</t>
  </si>
  <si>
    <t>Peningkatan kompetensi dalam pengelolaan dan pembelajaran di PAUD/SPS</t>
  </si>
  <si>
    <t>Menunjang kelancaran realisasi program</t>
  </si>
  <si>
    <t>Pendidik, Pengelola, Pengurus</t>
  </si>
  <si>
    <t>Penyuluhan tentang kesehatan Balita</t>
  </si>
  <si>
    <t>Parenting untuk pencegahan Stunting</t>
  </si>
  <si>
    <t>Anak sehat dan produktif</t>
  </si>
  <si>
    <t>Ibu dan Balita</t>
  </si>
  <si>
    <t>Sosialisasi standart mutu pendidik di SPS</t>
  </si>
  <si>
    <t>Meningkatkan mutu SDM pendidik PAUD</t>
  </si>
  <si>
    <t>Pendidik PAUD dan pengurus</t>
  </si>
  <si>
    <t>Peningkatan kompetensi pendidik PAUD dalam penyusunan pembelajaran yang berpusat pada anak</t>
  </si>
  <si>
    <t>Meningkatkan mutu pendidik PAUD dalam kegiatan di SPS</t>
  </si>
  <si>
    <t>Pendidik dan Pengurus</t>
  </si>
  <si>
    <t>Pelatihan olahan ayam potong</t>
  </si>
  <si>
    <t>Meningkatkan ekonomi keluarga</t>
  </si>
  <si>
    <t>P2WKSS</t>
  </si>
  <si>
    <t>8.04</t>
  </si>
  <si>
    <t>Pemberian Motivasi, Pelatihan Singkat bagi Perempuan Rawan Sosial Ekonomi</t>
  </si>
  <si>
    <t>Sosialisasi Kegiatan P2WKSS</t>
  </si>
  <si>
    <t>P2WKSS dan PKK</t>
  </si>
  <si>
    <t>Pelatihan Olahan Lele</t>
  </si>
  <si>
    <t>Kelompok peternak lele cendol dan P2WKSS</t>
  </si>
  <si>
    <t>Advokasi Kependudukan bagi pengurus dan anggota Fapsedu (Forum Antar umat beragama Peduli keluarga Sejahtera dan kependudukan)</t>
  </si>
  <si>
    <t>Sosialisasi Administrasi MK</t>
  </si>
  <si>
    <t>Mengingatkan kembali program MK</t>
  </si>
  <si>
    <t>POKJA I</t>
  </si>
  <si>
    <t>Inisiasi Posyandu Remaja</t>
  </si>
  <si>
    <t>Sosialisasi PAAR</t>
  </si>
  <si>
    <t>Menambah pengetahuan tentang PAAR</t>
  </si>
  <si>
    <t>Pengadaan beberan pola asuh anak</t>
  </si>
  <si>
    <t>Menambah pengetahuan lewat Beberan</t>
  </si>
  <si>
    <t>Penumbuhan Kampung Panca Tertib</t>
  </si>
  <si>
    <t>GSAK (Gerakan Sapa Anak Kost)</t>
  </si>
  <si>
    <t>Anak kost mendapat perhatian</t>
  </si>
  <si>
    <t>Sosialisasi standart mutu pendidik PAUD di SPS</t>
  </si>
  <si>
    <t>Meningkatkan SDM pendidik PAUD di SPS</t>
  </si>
  <si>
    <t>Pendidik PAUD dan Pengurus</t>
  </si>
  <si>
    <t>7.17</t>
  </si>
  <si>
    <t>Pengembangan menu B2SA</t>
  </si>
  <si>
    <t>Mengurangi balita stunting dan gizi buruk</t>
  </si>
  <si>
    <t>Ibu balita gizi buruk</t>
  </si>
  <si>
    <t>60 orang</t>
  </si>
  <si>
    <t>Pengolahan Sampah Organik : Pembuatan Demplot Magot (Black Soldier Fly) di wilayah</t>
  </si>
  <si>
    <t>Pengembangan pengelolaan sampah organik</t>
  </si>
  <si>
    <t>Komposter, Eco Enzym (Pupuk Cair)</t>
  </si>
  <si>
    <t>PKK dan Tokoh Masyarakat</t>
  </si>
  <si>
    <t>Peningkatan kompetensi kader kesehatan</t>
  </si>
  <si>
    <t>Tertib administrasi</t>
  </si>
  <si>
    <t>Kader kesehatan</t>
  </si>
  <si>
    <t>50 orang</t>
  </si>
  <si>
    <t>Pembinaan administrasi KKG PKK, KKBPK PKK</t>
  </si>
  <si>
    <t>Pengisian data menjadi mudah, laporan lancar</t>
  </si>
  <si>
    <t>7.16</t>
  </si>
  <si>
    <t>Penyuluhan tentang HIV</t>
  </si>
  <si>
    <t>Pemeriksaan IVA</t>
  </si>
  <si>
    <t>Deteksi dini kanker</t>
  </si>
  <si>
    <t>200 orang</t>
  </si>
  <si>
    <t>Pelatihan penimbangan, pengukuran tinggi badan dan plotting data kesehatan balita pada Buku KIA bagi kader POSYANDU di wilayah</t>
  </si>
  <si>
    <t>Peningkatan kapasitas pengurus KP Ibu</t>
  </si>
  <si>
    <t>Peningkatan kapasitas kader</t>
  </si>
  <si>
    <t>Kader posyandu</t>
  </si>
  <si>
    <t>Pembinaan administrasi SIP Posyandu</t>
  </si>
  <si>
    <t>Kemampuan kader meningkat</t>
  </si>
  <si>
    <t>Sosialisasi penanganan pertama pada kecelakaan dalam rumah tangga kebakaran dan lainnya</t>
  </si>
  <si>
    <t>Dapat menangani sendiri dalam keluarga apabila terjadi kegawatdaruratan/bencana</t>
  </si>
  <si>
    <t>Pengurus Kesi, Ketua RW dan masyarakat</t>
  </si>
  <si>
    <t>7.12</t>
  </si>
  <si>
    <t>Penyuluhan tentang kesehatan hipertensi</t>
  </si>
  <si>
    <t>Sosialisasi penyakit degeneratif dan perawatan bagi penderita lansia sakit</t>
  </si>
  <si>
    <t>Agar penderita dapat merawat diri dan yang belum menderita sakit dapat dicegah</t>
  </si>
  <si>
    <t>Kaderb Kesi, Masyarakat, Lansia</t>
  </si>
  <si>
    <t>Pelatihan Kesehatan Berbasis Masyarakat di wilayah</t>
  </si>
  <si>
    <t>Bimtek Kesi tentang kelembagaan terkait serta peranannya</t>
  </si>
  <si>
    <t>Masyarakat terdampak bencana/kondisi kedaruratan dapat ditangani secara tepat dan cepat, karena komponen terkait dapat berkoordinasi untuk menangani</t>
  </si>
  <si>
    <t>Kesi, RW Siagadan komponen terkait dan masyarakat</t>
  </si>
  <si>
    <t>Peningkatan kapasitas kader mengenai perencanaan kehamilan.</t>
  </si>
  <si>
    <t>Peningkatan kapasitas pengurus dan kader bumil</t>
  </si>
  <si>
    <t>Meningkatkan kapasitas kader</t>
  </si>
  <si>
    <t>Sosialisasi rencana kerja kepada 3 kampung /6 RW/ 29 RT di ex RK Purbonegaran</t>
  </si>
  <si>
    <t>Menambah pengetahuan masyarakat</t>
  </si>
  <si>
    <t>Kampung Purbonegaran</t>
  </si>
  <si>
    <t>Pelatihan Kelompok Catering</t>
  </si>
  <si>
    <t>Menambah pendapatan</t>
  </si>
  <si>
    <t>RW 8</t>
  </si>
  <si>
    <t>Sarana Kegiatan/ATK</t>
  </si>
  <si>
    <t>PKK RW 09</t>
  </si>
  <si>
    <t>5 set</t>
  </si>
  <si>
    <t>Papan 10 program pokok PKK</t>
  </si>
  <si>
    <t>Edukasi 10 program PKK</t>
  </si>
  <si>
    <t>Pelatihan Budaya yang bersifat Rutin di wilayah</t>
  </si>
  <si>
    <t>Pelatihan Kelompok Hadroh</t>
  </si>
  <si>
    <t>Meningkatkan seni</t>
  </si>
  <si>
    <t>RW 7</t>
  </si>
  <si>
    <t>Pelatihan Kerajinan di wilayah</t>
  </si>
  <si>
    <t>Pelatihan membatik, memasak, sibori</t>
  </si>
  <si>
    <t>Untuk kesejahteraan kelompok PKK RW 12</t>
  </si>
  <si>
    <t>Pelatihan Manajemen UMKM di wilayah</t>
  </si>
  <si>
    <t>Sosialisasi PIRT</t>
  </si>
  <si>
    <t>25 orang x 3 hari</t>
  </si>
  <si>
    <t>Pelatihan kampung sayur</t>
  </si>
  <si>
    <t>Halaman tampak indah</t>
  </si>
  <si>
    <t>PKK RW 7, 8, 9</t>
  </si>
  <si>
    <t>30 orang x 2 hari</t>
  </si>
  <si>
    <t xml:space="preserve">Pelatihan ramuan herbal </t>
  </si>
  <si>
    <t xml:space="preserve">Meningkatkan keahlian Kewirausahaan </t>
  </si>
  <si>
    <t xml:space="preserve">v </t>
  </si>
  <si>
    <t>7.08</t>
  </si>
  <si>
    <t>Workshop Kesehatan Remaja (PIK-R)</t>
  </si>
  <si>
    <t xml:space="preserve">Peningkatan Pengetahuan tentang kesehatan remaja </t>
  </si>
  <si>
    <t xml:space="preserve">Warga  kampung </t>
  </si>
  <si>
    <t>30 orang X 2 hari</t>
  </si>
  <si>
    <t>Pelatihan membuat kue</t>
  </si>
  <si>
    <t>Pembinaan kader dan pengurus DBKS</t>
  </si>
  <si>
    <t>Menambah pengetahuan</t>
  </si>
  <si>
    <t>Kelurahan Terban</t>
  </si>
  <si>
    <t>FGD Tentang Perundang-Undangan dan Perlindungan Hukum terhadap  Korban dan Pelaku Kekerasan Terhadap anak</t>
  </si>
  <si>
    <t>Masyarakat mendapatkan informasi tentang Peraturan Perundang-Undangan dan Perlindungan Hukum bagi Korban dan Pelaku Kekerasan Terhadap Anak</t>
  </si>
  <si>
    <t>Masyarakat dan Pengurus RT, RW, PKK, Tokoh Masyarakat, Babinkantibmas dan Babinsa</t>
  </si>
  <si>
    <t>FGD Permasalahan dan Solusi Masalah Kemiskinan di Kelurahan Terban</t>
  </si>
  <si>
    <t>Penurunan kemiskinan di Kelurahan Terban dengan mengetahui penyebab dan memberikan solusi yang tepat</t>
  </si>
  <si>
    <t>Masyarakat dan Pengurus RT, RW, PKK, Tokoh Masyarakat, PSM, Babinkantibmas dan Babinsa</t>
  </si>
  <si>
    <t>Pengembangan kapasitas kelembagaan LKT, perlunya Pemahaman budaya kepada warga melalui Workshop LKT</t>
  </si>
  <si>
    <t>Menambah pengetahuan budaya</t>
  </si>
  <si>
    <t>30 orang  x 2 hari</t>
  </si>
  <si>
    <t>Kegiatan Pengetan 1 Suro</t>
  </si>
  <si>
    <t>Melestarikan budaya kampung untuk mendukung kelurahan budaya</t>
  </si>
  <si>
    <t>Kegiatan Pentas Budaya Ruwahan</t>
  </si>
  <si>
    <t>Kegiatan Pentas Budaya Rejeban</t>
  </si>
  <si>
    <t>Kegiatan Pentas Budaya Merti Belik</t>
  </si>
  <si>
    <t>Melestarikan budaya kampung untuk mendukung kelurahan budaya (kampung purbonegaran)</t>
  </si>
  <si>
    <t>Kegiatan Pentas Budaya Saparan</t>
  </si>
  <si>
    <t>Melestarikan budaya kampung untuk mendukung kelurahan budaya (kampung resonegaran)</t>
  </si>
  <si>
    <t>Bimtek POKDARWIS</t>
  </si>
  <si>
    <t>30 orang x 3 hari</t>
  </si>
  <si>
    <t>26.25</t>
  </si>
  <si>
    <t xml:space="preserve"> Pengolahan Sampah Organik : Starter kit Ecoenzym di wilayah</t>
  </si>
  <si>
    <t>Pengolahan Sampah Organik (Pembuatan eco enzym)</t>
  </si>
  <si>
    <t>Sampah terpilah dengan baik</t>
  </si>
  <si>
    <t xml:space="preserve">Workshop gerakan panca tertib </t>
  </si>
  <si>
    <t>Meningkatkan budaya panca tertib</t>
  </si>
  <si>
    <t>Pelatihan kebencanaan</t>
  </si>
  <si>
    <t xml:space="preserve">Kenyamanan dan keamanan </t>
  </si>
  <si>
    <t>Badan Kesbangpol</t>
  </si>
  <si>
    <t>DINAS PERINDUSTRIAN KOPERASI  UKM</t>
  </si>
  <si>
    <t>DINAS PEMADAM KEBAKARAN</t>
  </si>
  <si>
    <t xml:space="preserve">Pembuatan Denah </t>
  </si>
  <si>
    <t>Fasiltasi lembaga untuk sarana prasarana kegiatan</t>
  </si>
  <si>
    <t xml:space="preserve">Fasilitasi pertemuan/rapat/koordinasi dan evaluasi kegiatan TKPK Kelurahan Terban </t>
  </si>
  <si>
    <t>Koordinasi  Tim TKPK Kelurahan belum berjalan dengan baik untuk penanggulangan kemiskinan di Kelurahan Terban</t>
  </si>
  <si>
    <t>Keluarga Miskin di Kelurahan Terban</t>
  </si>
  <si>
    <t>15 orang x 4 pertemuan</t>
  </si>
  <si>
    <t>BAPPEDA</t>
  </si>
  <si>
    <t>Kajian Penanggulangan Kemiskinan Tingkat Kelurahan Terban melalui Pengisian Rapor Keluarga</t>
  </si>
  <si>
    <t>Penurunan kemiskinan di Kelurahan Terban</t>
  </si>
  <si>
    <t>Tim TKPK Kelurahan Terban</t>
  </si>
  <si>
    <t>100 KPM</t>
  </si>
  <si>
    <t>Penyusunan Kegiatan Penanggulangan Kemiskinan Kelurahan Terban</t>
  </si>
  <si>
    <t>Kegiatan-Kegiatannya nanti dapat menanggulangi kemiskinan di Kelurahan Terban</t>
  </si>
  <si>
    <t>5 orang x 4 pertemuan</t>
  </si>
  <si>
    <t>Pengadaan Laptop</t>
  </si>
  <si>
    <t>Penunjang laporan/SIP Posyandu</t>
  </si>
  <si>
    <t>12 unit</t>
  </si>
  <si>
    <t>Pengadaan Kursi Lipat</t>
  </si>
  <si>
    <t>Pengadaan Meja</t>
  </si>
  <si>
    <t>Pembuatan Papan Pengumuman</t>
  </si>
  <si>
    <t>Pengadaan Laptop, Printer, LDC Projector dan Layar</t>
  </si>
  <si>
    <t>Kegiatan pemeliharaan Alat Pemadam Api Ringan (APAR) di wilayah</t>
  </si>
  <si>
    <t xml:space="preserve">Pengadaan hydran kering </t>
  </si>
  <si>
    <t>Untuk menanggulangi bencana</t>
  </si>
  <si>
    <t xml:space="preserve">Kursus Tari dan kerawitan </t>
  </si>
  <si>
    <t xml:space="preserve">Konservasi budaya </t>
  </si>
  <si>
    <t xml:space="preserve">RT 45 </t>
  </si>
  <si>
    <t xml:space="preserve">40 kali setahun </t>
  </si>
  <si>
    <t>Pelatihan rutin team karawitan tingkat kelurahan</t>
  </si>
  <si>
    <t>Nguri uri budaya melalui kegiatan LKT</t>
  </si>
  <si>
    <t>LPMK</t>
  </si>
  <si>
    <t>20 org X 10 bln</t>
  </si>
  <si>
    <t>Pengadaan pakaian Kethoprak</t>
  </si>
  <si>
    <t>Fasilitasi lembaga untuk operasional kegiatan budaya</t>
  </si>
  <si>
    <t>Kelompok kethoprak</t>
  </si>
  <si>
    <t>Pengadaan seragam Macapat</t>
  </si>
  <si>
    <t>Kelompok mocopat</t>
  </si>
  <si>
    <t>Pengadaan Kelengkapan Seni Tari klasik</t>
  </si>
  <si>
    <t>Kelompok tari</t>
  </si>
  <si>
    <t>Pengadaan seragam Bregada</t>
  </si>
  <si>
    <t>Kelompok Bregada</t>
  </si>
  <si>
    <t>Pengadaan alat musik Bregada</t>
  </si>
  <si>
    <t>Senam lansia</t>
  </si>
  <si>
    <t>Lansia bugar</t>
  </si>
  <si>
    <t>Penyuluhan tentang gizi buruk untuk kegiatan Posyandu, dan pemberian PMT/Taman Gizi bagi Balita</t>
  </si>
  <si>
    <t>Balita sehat</t>
  </si>
  <si>
    <t>Pelaksanaan UKBM</t>
  </si>
  <si>
    <t>Deteksi dini gangguan masyarakat</t>
  </si>
  <si>
    <t>Posyandu + RW siaga</t>
  </si>
  <si>
    <t xml:space="preserve">Dapur Balita dan Ibu Hamil </t>
  </si>
  <si>
    <t xml:space="preserve">Bantuan gizi selama pandemi dan pasca pandemi covid 19 </t>
  </si>
  <si>
    <t>Pelatihan pengolahan MPASI untuk pencegahan stunting di wilayah</t>
  </si>
  <si>
    <t>Penguatan Kader Posyandu-Posbindu</t>
  </si>
  <si>
    <t>Peningkatan Kader posyandu</t>
  </si>
  <si>
    <t>Pengadaan Timbangan Digital di wilayah</t>
  </si>
  <si>
    <t>Pengadaan timbangan digital</t>
  </si>
  <si>
    <t>Mudah mendeteksi</t>
  </si>
  <si>
    <t>4 kampung</t>
  </si>
  <si>
    <t>DINAS KESEHATAN DIY</t>
  </si>
  <si>
    <t xml:space="preserve"> 26.17</t>
  </si>
  <si>
    <t>Pengadaan Alat Pengukur Tinggi Bayi di wilayah</t>
  </si>
  <si>
    <t>Pengadaan alat ukur tinggi badan</t>
  </si>
  <si>
    <t>Pengadaan Tensi Meter di wilayah</t>
  </si>
  <si>
    <t>Pengadaan Tensimeter</t>
  </si>
  <si>
    <t xml:space="preserve">KTB Kampung Resonegaran, butuh alat komunikasi berupa HT </t>
  </si>
  <si>
    <t>Kelancaran kegiatan</t>
  </si>
  <si>
    <t>Pengurus KTB</t>
  </si>
  <si>
    <t>KTB kampung Resonegaran-RW 12</t>
  </si>
  <si>
    <t xml:space="preserve">4 unit </t>
  </si>
  <si>
    <t>DED Fasilitas Sarana dan Prasarana DTW / fasilitasi kepada dtw maupun kampung wisata yang akan melakukan pengembangan sarpras berupa dokumen perencanaan</t>
  </si>
  <si>
    <t>Fasilitasi wisata susur sungai</t>
  </si>
  <si>
    <t>Untuk menarik wisatawan</t>
  </si>
  <si>
    <t>[NAMA WILAYAH] Kegiatan pemeliharaan Alat Pemadam Api Ringan (APAR) di wilayah</t>
  </si>
  <si>
    <t xml:space="preserve"> Pengadaan apar </t>
  </si>
  <si>
    <t xml:space="preserve">Keamanan dan kenyamanan </t>
  </si>
  <si>
    <t>3000000 x 12 Rw</t>
  </si>
  <si>
    <t xml:space="preserve">Pengadaan Hydran Kering </t>
  </si>
  <si>
    <t>Pengadaan APAR &amp; perlengkapannya</t>
  </si>
  <si>
    <t>Untuk menanggulangi bencana Kebakaran</t>
  </si>
  <si>
    <t>16.14</t>
  </si>
  <si>
    <t>Jam Belajar Masyarakat</t>
  </si>
  <si>
    <t>JBM</t>
  </si>
  <si>
    <t xml:space="preserve">12 RW </t>
  </si>
  <si>
    <t>DINAS PENDIDIKAN PEMUDA DAN OLAHRGA</t>
  </si>
  <si>
    <t>Pengadaan meja pingpong</t>
  </si>
  <si>
    <t>warga menjadi sehat</t>
  </si>
  <si>
    <t xml:space="preserve">RW 01 </t>
  </si>
  <si>
    <t xml:space="preserve">Kaca Cembung </t>
  </si>
  <si>
    <t>RT 45,46, 48</t>
  </si>
  <si>
    <t>Pengadaan Cermin Cembung</t>
  </si>
  <si>
    <t>Untuk keselamatan warga</t>
  </si>
  <si>
    <t xml:space="preserve">Penumbuhan UPPKS </t>
  </si>
  <si>
    <t xml:space="preserve">Penambahan penguatan ekonomi keluarga </t>
  </si>
  <si>
    <t>17.01</t>
  </si>
  <si>
    <t>Penyediaan rak dan buku</t>
  </si>
  <si>
    <t>Pengadaan lemari penyimpanan dokumen RW 12</t>
  </si>
  <si>
    <t>Untuk menyimpan dokumen2 PKK RW 12</t>
  </si>
  <si>
    <t>DINAS PERPUSTAKAAN DAN KEARSIPAN</t>
  </si>
  <si>
    <t>15.02</t>
  </si>
  <si>
    <t>Pelatihan kreatifitas dan pembinaan generasi muda</t>
  </si>
  <si>
    <t>Penguatan Lembaga Kepemudaan R05TER</t>
  </si>
  <si>
    <t>Peningkatan lembaga kepemudaan</t>
  </si>
  <si>
    <t>Lembaga kepemudaan</t>
  </si>
  <si>
    <t>Penguatan kapasitas kelembagaan PSM</t>
  </si>
  <si>
    <t>Untuk mengetahui permasalahan sosial di wilayah</t>
  </si>
  <si>
    <t>Perlengkapan pangruktilaya</t>
  </si>
  <si>
    <t>Pengadaan HT</t>
  </si>
  <si>
    <t>DISKOMINFOSAN</t>
  </si>
  <si>
    <t>Gerobak sampah</t>
  </si>
  <si>
    <t>Sampah tidak menumpuk</t>
  </si>
  <si>
    <t>RT 39 RW 8</t>
  </si>
  <si>
    <t>1 buah</t>
  </si>
  <si>
    <t>Pengadaan gerobak sampah</t>
  </si>
  <si>
    <t>Untuk kebersihan</t>
  </si>
  <si>
    <t>Dasawisma PKK RT RW</t>
  </si>
  <si>
    <t>Meningkatkan administrasi</t>
  </si>
  <si>
    <t>45 orang</t>
  </si>
  <si>
    <t>20.01</t>
  </si>
  <si>
    <t>Pengembangan Kampung Keluarga Berencana (KB)</t>
  </si>
  <si>
    <t xml:space="preserve">Kampung KB </t>
  </si>
  <si>
    <t>RW 10 11</t>
  </si>
  <si>
    <t xml:space="preserve">Pemantapan Bina bina keluarga </t>
  </si>
  <si>
    <t xml:space="preserve">Pengadaan Beberan </t>
  </si>
  <si>
    <t xml:space="preserve">Fasilitasi pertemuan/rapat/koordinasi dan evaluasi kegiatan PATBM Kelurahan Terban </t>
  </si>
  <si>
    <t>Agar gerakan PATBM di Kelurahan Terban bisa terkoordinasikan dengan baik mulai pelaporan kejadian/kasus dan penanganannya</t>
  </si>
  <si>
    <t xml:space="preserve">Masing-masing RW memiliki kader PATBM satu orang </t>
  </si>
  <si>
    <t>12 orang x 4 pertemuan</t>
  </si>
  <si>
    <t>Kaderisasi Personil PATBM di tingkat wilayah Kelurahan Terban</t>
  </si>
  <si>
    <t>Dengan adanya kaderisasi di tingkat  RT/RW agar  tindak kekerasan terhadap anak bisa dicegah dan mempercepat pelaporan dan penanganannya</t>
  </si>
  <si>
    <t>Penguatan Kader PAUD</t>
  </si>
  <si>
    <t>Peningkatan SDM bagi kader posyandu</t>
  </si>
  <si>
    <t>Kader Posyandu</t>
  </si>
  <si>
    <t>Penguatan Dasawisma</t>
  </si>
  <si>
    <t>Pemahaman pengurus</t>
  </si>
  <si>
    <t>Dasawisma</t>
  </si>
  <si>
    <t>Penguatan POKMAIR</t>
  </si>
  <si>
    <t>Pengurus pokmair</t>
  </si>
  <si>
    <t xml:space="preserve">Pengadaan Portal </t>
  </si>
  <si>
    <t>Untuk keamanan warga</t>
  </si>
  <si>
    <t>Rapat pengurus dan paguyuban PAUD</t>
  </si>
  <si>
    <t>Rapat Pengurus P2WKSS</t>
  </si>
  <si>
    <t>Menunjang kelancaran realisasi Program dan ADM</t>
  </si>
  <si>
    <t>Pengurus P2WKSS dan PKK</t>
  </si>
  <si>
    <t>Rapat pengurus POKJA II</t>
  </si>
  <si>
    <t>Rapat-rapat berjalan untuk perlengkapan ADM dan konsumsi</t>
  </si>
  <si>
    <t>Pengurus POKJA II dan anggota</t>
  </si>
  <si>
    <t>Monitoring BKS</t>
  </si>
  <si>
    <t>Merefreshing kegiatan BKS</t>
  </si>
  <si>
    <t>Kader BKS</t>
  </si>
  <si>
    <t>Monitoring UP2K</t>
  </si>
  <si>
    <t>Menggiatkan lagi UP2K Kelurahan</t>
  </si>
  <si>
    <t>Pengurus dan anggota UP2K</t>
  </si>
  <si>
    <t>Pengadaan PMT Bumil</t>
  </si>
  <si>
    <t>Mencegah bumil kurang darah, HB bumil normal</t>
  </si>
  <si>
    <t>Pengadaan administrasi</t>
  </si>
  <si>
    <t>RT RW</t>
  </si>
  <si>
    <t>Pengadaan PMT balita</t>
  </si>
  <si>
    <t>Tidak terjadi balita stunting</t>
  </si>
  <si>
    <t>Pengadaan PMT lansia</t>
  </si>
  <si>
    <t>Mencegah HB rendah dan tensi tinggi</t>
  </si>
  <si>
    <t>Rapat pengurus Kesi 2 bulan sekali</t>
  </si>
  <si>
    <t>Rapat untuk membuat program kerja dan pelaksanaannya dan evaluasi kegiatan</t>
  </si>
  <si>
    <t>Pengurus Kesi, Ketua RW dan Ketua kampung</t>
  </si>
  <si>
    <t xml:space="preserve">Pertemuan rutin pengurus dan kader </t>
  </si>
  <si>
    <t>Komunikasi lebih lancar</t>
  </si>
  <si>
    <t>Implementasi Kelas Ibu hamil</t>
  </si>
  <si>
    <t xml:space="preserve">Pembuatan peta bumil </t>
  </si>
  <si>
    <t>Mudah terjangkau</t>
  </si>
  <si>
    <t>12 buah</t>
  </si>
  <si>
    <t>Pengadaan kantong bumil</t>
  </si>
  <si>
    <t>Mudah diketahui</t>
  </si>
  <si>
    <t>12 paket</t>
  </si>
  <si>
    <t>Pengadaan kantong persalinan</t>
  </si>
  <si>
    <t>Mudah dipantau</t>
  </si>
  <si>
    <t>Administrasi lebih tertata</t>
  </si>
  <si>
    <t>Rapat rutin bulanan</t>
  </si>
  <si>
    <t>Menyatukan persepsi</t>
  </si>
  <si>
    <t>Rapat pleno tahunan/pemilihan pengurus BKM</t>
  </si>
  <si>
    <t>Kaderisasi pengurus</t>
  </si>
  <si>
    <t>Pengurus BKM</t>
  </si>
  <si>
    <t>Pemilihan pengurus</t>
  </si>
  <si>
    <t>Fasilitasi kegiatan PAUD</t>
  </si>
  <si>
    <t>Pengembangan diri anak usia balita</t>
  </si>
  <si>
    <t>Seragam PKK + Kader</t>
  </si>
  <si>
    <t>Kerapian</t>
  </si>
  <si>
    <t>PKK + Kader</t>
  </si>
  <si>
    <t>Penguatan Lembaga DBKS</t>
  </si>
  <si>
    <t>Kader DBKS</t>
  </si>
  <si>
    <t>Kesejahteraan rohani masyarakat</t>
  </si>
  <si>
    <t>Peningkatan spiritual</t>
  </si>
  <si>
    <t xml:space="preserve">FKPM </t>
  </si>
  <si>
    <t xml:space="preserve">Kenyamanan dan keamanan warga </t>
  </si>
  <si>
    <t>SATPOL PP</t>
  </si>
  <si>
    <t>Penyegaran fisik dan psikis anggota FKPM</t>
  </si>
  <si>
    <t xml:space="preserve">Kebugaraan anggota </t>
  </si>
  <si>
    <t xml:space="preserve">Anggota </t>
  </si>
  <si>
    <t>Rw 11</t>
  </si>
  <si>
    <t xml:space="preserve">100 orang </t>
  </si>
  <si>
    <t>Penguatan RW-RT Siaga</t>
  </si>
  <si>
    <t>Fasilitasi tenaga administrasi</t>
  </si>
  <si>
    <t>Fasilitasi kelembagaan</t>
  </si>
  <si>
    <t>Lembaga</t>
  </si>
  <si>
    <t>151 lembaga</t>
  </si>
  <si>
    <t>BAG TAPEM</t>
  </si>
  <si>
    <t>DINAS KEBAKARAN</t>
  </si>
  <si>
    <t>DINAS PENDIDIKAN PEMUDA DAN OLAHRAGA</t>
  </si>
  <si>
    <t>11.01</t>
  </si>
  <si>
    <t>FGD Plurarisme Sebagai Penguat Kebhinekaan</t>
  </si>
  <si>
    <t xml:space="preserve">• Perlunya pemuda sekaligus pengurus maupun anggota karang taruna di wilayah Kemantren Gondokusuman meningkatkan semangat plurarisme
• Penguatan pemahaman dan semangat kebhinekaan untuk pemuda di era milenial seperti saat ini.
</t>
  </si>
  <si>
    <t xml:space="preserve">• Menambah ilmu terkait kebhinekaan
• Kebhinekaan dalam melekat di dalam kesehariaan pemuda sehingga memiliki rasa saling menghargai terhadap semua perbedaan
</t>
  </si>
  <si>
    <t>Pemuda sekaligus Warga Karang Taruna Kemantren Gondokuman</t>
  </si>
  <si>
    <t>Aula Kelurahan Baciro</t>
  </si>
  <si>
    <t>21.06</t>
  </si>
  <si>
    <t xml:space="preserve">Calendar of Event </t>
  </si>
  <si>
    <t>Macapat massal</t>
  </si>
  <si>
    <t>Temu 14 Kec.</t>
  </si>
  <si>
    <t>21.03</t>
  </si>
  <si>
    <t>Kangen Jogja "Bersama dalam Keistimewaan"</t>
  </si>
  <si>
    <t xml:space="preserve">• Banyaknya potensi pemuda dan seluruh lapisan masyarakat yang perlu diwadahi
• Perlunya satu even tertentu mengangkat nama Kemantren dengan menunjukkan potensi budaya, ekonomi, seni, kuliner dan kerajinan 
• Mengangkat satu tempat di area kemantren yang layak dijadikan wisata unggulan
</t>
  </si>
  <si>
    <t xml:space="preserve">• Mempromosikan sektor-sektor yang terkait diseputaran Kemantren
• Terwadahinya potensi dari warga masyarakat
• Melakukan pertunjukkan sebagai sarana edukasi dan rekreasi bagi masyarakat
• Mendongkrak ekonomi masyarakat
</t>
  </si>
  <si>
    <t xml:space="preserve">Seluruh lapisan masyarakat </t>
  </si>
  <si>
    <t>Embung Langensari</t>
  </si>
  <si>
    <t>1 kali dalam satu tahun</t>
  </si>
  <si>
    <t>7.09</t>
  </si>
  <si>
    <t>Sekrening untuk usia produktif , Pelatihan kader Posbindu, Penyuluhan tentang kesehatan Usia Produktif</t>
  </si>
  <si>
    <t>Pemeriksaan dan screening kesehatan bagi penyandang disabilitas</t>
  </si>
  <si>
    <t>16.05</t>
  </si>
  <si>
    <t>Apresiasi Guru Kreatif/Honor pengajar PAUD
Bersetifikat Bimtek
Pedagogik</t>
  </si>
  <si>
    <t>Memberikan apresiasi bagi Guru Paud Kreatif 1 kali selama setahun</t>
  </si>
  <si>
    <t>Guru PAUD</t>
  </si>
  <si>
    <t>50 orang x 4 bulan</t>
  </si>
  <si>
    <t>DISPORA</t>
  </si>
  <si>
    <t>Pembangunan rumah Disabilitas</t>
  </si>
  <si>
    <t>anak dengan disabilitas</t>
  </si>
  <si>
    <t>600M2 X 4680000</t>
  </si>
  <si>
    <t>Pelatihan Manajemen dan Bisnis Digital untuk UMKM</t>
  </si>
  <si>
    <t xml:space="preserve">Fasilitatasi Forum Karang Taruna </t>
  </si>
  <si>
    <t>Fasilitasi untuk kebutuhan rapat rutin dan kegiatan koordinasi lainnya dengan warga Karang Taruna</t>
  </si>
  <si>
    <t xml:space="preserve">Terfasilitasinya kebutuhan koordinasi </t>
  </si>
  <si>
    <t>16.02</t>
  </si>
  <si>
    <t>Pelatihan Pendidik
PAUD</t>
  </si>
  <si>
    <t xml:space="preserve">Pelatihan bagi Guru paud, </t>
  </si>
  <si>
    <t>Menignkatkn pengetahuan IT bagi pendidik/Guru PAUD</t>
  </si>
  <si>
    <t>3 x 25 orang</t>
  </si>
  <si>
    <t>kemantren</t>
  </si>
  <si>
    <t>Sarasehan Guru Paud tiap 2 bulan sekali</t>
  </si>
  <si>
    <t>Koordinasi antar guru Paud lingkup area kemantren Gondokusuman</t>
  </si>
  <si>
    <t>6 x 50 orang</t>
  </si>
  <si>
    <t>Pelatihan Pendidik PAUD</t>
  </si>
  <si>
    <t>30 ORG</t>
  </si>
  <si>
    <t>Workshop APE</t>
  </si>
  <si>
    <t>Gebyar PAUD</t>
  </si>
  <si>
    <t>150 anak</t>
  </si>
  <si>
    <t>Panembrama</t>
  </si>
  <si>
    <t>koordinasi pelaku seni yang ada di kemantren Gondokusuman</t>
  </si>
  <si>
    <t>kelompok seni kemantren Gondokusuman</t>
  </si>
  <si>
    <t>25x8x20.000</t>
  </si>
  <si>
    <t>Fasilitasi Lembaga Kemasyarakatan
bersifat Rutin di
wilayah</t>
  </si>
  <si>
    <t>Latihan macapat</t>
  </si>
  <si>
    <t>Memahami lagu</t>
  </si>
  <si>
    <t>20 X 8 X 20000</t>
  </si>
  <si>
    <t>Pemberian Motivasi, Pelatihan Singkat bagi Keluarga Penyandang Disabilitas</t>
  </si>
  <si>
    <t>Pemberian motivasi disabilitas melalui jalan-jalan sehat dan rekreasi sederhana</t>
  </si>
  <si>
    <t>peningkatan ketrampilan anak dengan disabilitas</t>
  </si>
  <si>
    <t>30 orang x 4</t>
  </si>
  <si>
    <t>Dinas Sosial</t>
  </si>
  <si>
    <t>8.03</t>
  </si>
  <si>
    <t>Pemberian Motivasi, Pelatihan Singkat bagi Penyandang Disabilitas Mampu Latih</t>
  </si>
  <si>
    <t>pelatihan pembuatan keterampilan penyandang disabilitas</t>
  </si>
  <si>
    <t>Screening  dan penyuluhan kesehatan sebagai intervensi pelaksanaan posyandu lansia</t>
  </si>
  <si>
    <t>PMT lansia ke posyandu lansia</t>
  </si>
  <si>
    <t>Pelatihan Pengelolaan Perlindungan Anak Terpadu Berbasis Masyarakat (PATBM)</t>
  </si>
  <si>
    <t>workshop Pola Asuh Anak Remaja Era Digital (PAAR EDI)</t>
  </si>
  <si>
    <t>Workshop PATBM dalam rangka mendukung program mitra keluarga</t>
  </si>
  <si>
    <t>Pelatihan Manajemem UMKM</t>
  </si>
  <si>
    <t xml:space="preserve">Pelatihan Manjemen pengolahan sampah rumah tangga </t>
  </si>
  <si>
    <t>13.02</t>
  </si>
  <si>
    <t>Senam Lansia</t>
  </si>
  <si>
    <t>lomba senam PKK</t>
  </si>
  <si>
    <t>Fasilitasi Lembaga Kemasyarakatan</t>
  </si>
  <si>
    <t>Rapat Rutin FKKS 3 bulan sekali</t>
  </si>
  <si>
    <t>Melaksanakan koordinasi antara pengurus dan anggota FKKS</t>
  </si>
  <si>
    <t>Pengurus dan Anggota</t>
  </si>
  <si>
    <t>20 orang x 4 kali x 20.000</t>
  </si>
  <si>
    <t>Fasilitasi Lembaga
Kemasyarakatan</t>
  </si>
  <si>
    <t>Rapat Koordinasi persiapan Lomba Kampung Hijau</t>
  </si>
  <si>
    <t>Melaksanakan koordinasi dengan lintas sektor</t>
  </si>
  <si>
    <t>25 orang x 2</t>
  </si>
  <si>
    <t>Pengadaan / Penyempurnaan Sarpras Ruang Terbuka Hijau Publik (RTHP)</t>
  </si>
  <si>
    <t>Tomanisasi atau pembuatan tabulanpot</t>
  </si>
  <si>
    <t>Penghijauan ragam sayur dan buah untuk warga masyarakat</t>
  </si>
  <si>
    <t>Kemantren GOndokusuman</t>
  </si>
  <si>
    <t>Usulan strategis</t>
  </si>
  <si>
    <t>Penyusunan Dokumen Review 2 Perencanaan Kewilayahan Terintegrasi</t>
  </si>
  <si>
    <t>Dasar perencanaan prog pemb dalam penyusunan usulan strategis kelurahan Th 2024</t>
  </si>
  <si>
    <t>1 Dokumen</t>
  </si>
  <si>
    <t>Pendampingan Pelaksanaan Perencanaan Monev Perencanaan Pembangunan Wilayah Terintegrasi</t>
  </si>
  <si>
    <t>Fasilitasi dalam penentuan usulan stategis kelurahan</t>
  </si>
  <si>
    <t>4 Dokumen</t>
  </si>
  <si>
    <t>Singkronisasi program kelembagaan Forkom UMKM</t>
  </si>
  <si>
    <t>Sarana koordinasi anggota Forkom UMKM</t>
  </si>
  <si>
    <t>Pengurus dan Anggota Forkom UMKM</t>
  </si>
  <si>
    <t>125 orang                   (5 kali)</t>
  </si>
  <si>
    <t>25.26</t>
  </si>
  <si>
    <t>Pendampingan kelompok Tani</t>
  </si>
  <si>
    <t>Pendampingan kelembagaan POKTAN</t>
  </si>
  <si>
    <t>Sarana koordinasi  Poktan bersama PPL</t>
  </si>
  <si>
    <t>Kelompok Tani</t>
  </si>
  <si>
    <t>19 poktan</t>
  </si>
  <si>
    <t>12.01</t>
  </si>
  <si>
    <t>Penguatan Kampung</t>
  </si>
  <si>
    <t>Pemasyarakatan Perda Pondokan Berbasis Kampung</t>
  </si>
  <si>
    <t>Mensosilaisasikan perda pondokan dan perijinan pondokan</t>
  </si>
  <si>
    <t>Ketua kampung, perwakilan warga, Lurah, ketua Pokja 3 TP PKK kec dan kel</t>
  </si>
  <si>
    <t>90 orang</t>
  </si>
  <si>
    <t>Singkronisasi program kelembagaan Paguyuban Bank Sampah Tingkat Kemantren</t>
  </si>
  <si>
    <t>Sarana koordinasi anggota Paguyuban BS</t>
  </si>
  <si>
    <t>Faskel dan Pengurus Paguyuban BS</t>
  </si>
  <si>
    <t>150 orang               (6 kali)</t>
  </si>
  <si>
    <t>workshop FKI dalam pengembangan kapasitas pengurus</t>
  </si>
  <si>
    <t>Gelar disabilitas FKI  (DISABILITAS FISIK DAN SOSIAL) dan PKADD</t>
  </si>
  <si>
    <t>15.08</t>
  </si>
  <si>
    <t>Pelatihan Pengelolaan Lembaga Organisasi OLAHRAGA</t>
  </si>
  <si>
    <t>SARASEHAN OLAHRAGA TRADISONAL</t>
  </si>
  <si>
    <t>RAKOR PENGURUS FORMI</t>
  </si>
  <si>
    <t>Pemberian Motivasi, PENGUATAN KAPASITAS
Pelatihan Singkat bagi
Perempuan Rawan
Sosial Ekonomi</t>
  </si>
  <si>
    <t>PSM banyak menerima keluhan, aduan dari masyarkat tentang permasalahan sosial,baik permasalahan sosial pribadi maupun masyarakat umum. Untuk itu diperlukan peningkatan kapasitas dalam menjalankan kerelawanannya untuk membantu permasalahan sosial dimasyarakat</t>
  </si>
  <si>
    <t>PSM bisa meningkatkan cara kerja kerelewanannya dalam menghadapii masyarakat yang heterogen yang sedang menghadapi masalah</t>
  </si>
  <si>
    <t>PSM Kemantren Gondokusuman</t>
  </si>
  <si>
    <t>Fasilitasi Lembaga Kemasyarakatan/IPSM</t>
  </si>
  <si>
    <t>PSM setiap saat menerima keluhan maupun aduan dari masyarakat tentang permasalahan sosial yang sedang dihadapi, untuk itu PSM selalu berkoordinasi dengan TKSK untuk bisa mencari jalan keluar permasalahan sosial yang disampaikan warga masyarakat melalui PSM</t>
  </si>
  <si>
    <t>PSM memerlukan ruang untuk berkoordinasi untuk membantu masyarakat dalam menghadapi permasalahan sosial</t>
  </si>
  <si>
    <t>6 pertemuan X 30 Orang</t>
  </si>
  <si>
    <t xml:space="preserve">Memahami lagu </t>
  </si>
  <si>
    <t>pertemuan rutin untuk menjalin komunikasi dengan komlan kelurahan DAN SAPAAN LANSIA JOMPO</t>
  </si>
  <si>
    <t>informasi program lansia dari pusat bisa diteruskan ke level kelurahan</t>
  </si>
  <si>
    <t>30 ORANG X 8 KALI</t>
  </si>
  <si>
    <t>penyuluhan tentang kesehatan lansia</t>
  </si>
  <si>
    <t>workshop menghadirkan pakar kesehatan dan kebugaran lansia</t>
  </si>
  <si>
    <t>senam lansia</t>
  </si>
  <si>
    <t>peringatan halun dan semnarak gebyar lansia</t>
  </si>
  <si>
    <t>rapat rutin, syawalan dan natal tahun baru PWRI</t>
  </si>
  <si>
    <t>12 * 25</t>
  </si>
  <si>
    <t>workshop menghadirkan pakar kesehatan dan kebugaran PWRI</t>
  </si>
  <si>
    <t>workshop bina keluarga sejahtera</t>
  </si>
  <si>
    <t>workshop UP2K</t>
  </si>
  <si>
    <t>pelatihan menu makanan B2SA</t>
  </si>
  <si>
    <t>workshop pokjanal posyandu</t>
  </si>
  <si>
    <t xml:space="preserve">Peningkatan Kapasitas Kader permasalahan di wilayah dengan berkolaborasi dengan TPPKK POSYANDU dalam menjawab </t>
  </si>
  <si>
    <t>Rapat rutin Pokja Bunda PAUD</t>
  </si>
  <si>
    <t>workshop stunting</t>
  </si>
  <si>
    <t>Peningkatan Kapasitas Kader POSYANDU dalam menjawab permasalahan di wilayah dengan berkolaborasi dengan TPPKK</t>
  </si>
  <si>
    <t>workshop IVA untuk PUS</t>
  </si>
  <si>
    <t xml:space="preserve">Fasilitasi Lembaga
Kemasyarakatan </t>
  </si>
  <si>
    <t>rakor KB</t>
  </si>
  <si>
    <t>65 orang x 2</t>
  </si>
  <si>
    <t>Sarasehan FKDM</t>
  </si>
  <si>
    <t>Rapat rutin FOREG</t>
  </si>
  <si>
    <t>gelar seni budaya kemantren</t>
  </si>
  <si>
    <t>pawai budaya kemantren/WJNC</t>
  </si>
  <si>
    <t>Segara Amarto</t>
  </si>
  <si>
    <t>Fasilitasi TKPK</t>
  </si>
  <si>
    <t>Lomba HKG</t>
  </si>
  <si>
    <t>Lomba Administrasi PKK</t>
  </si>
  <si>
    <t>Gelas Potensi UMKM Kemantren GK</t>
  </si>
  <si>
    <t>Dinas Perindustrian Koperasi UMKM</t>
  </si>
  <si>
    <t>Pelatihan Pengemasan Hasil Produk khusus kuliner</t>
  </si>
  <si>
    <t>Pelatihan Pengemasan Hasil Produk khusus kerajinan</t>
  </si>
  <si>
    <t>Budidaya cabe jawa dan puyang</t>
  </si>
  <si>
    <t>Budidaya tanaman sayuran</t>
  </si>
  <si>
    <t>Latihan gabungan kesenian daerah (FPK)</t>
  </si>
  <si>
    <t>Pelatihan manajemen dalam rangka pengurangan sampah anorganik</t>
  </si>
  <si>
    <t>Pembinaan Administrasi Bank Sampah se Kemantren</t>
  </si>
  <si>
    <t>Rapat paguyuban bank sampah se kemantren</t>
  </si>
  <si>
    <t>32 org</t>
  </si>
  <si>
    <t>Rakor Petugas Pelayanan</t>
  </si>
  <si>
    <t>20 org x 4 kali</t>
  </si>
  <si>
    <t>Musrenbang</t>
  </si>
  <si>
    <t>kemantren dan 5 kelurahan</t>
  </si>
  <si>
    <t>Pendampingan Evaluasi Kelurahan</t>
  </si>
  <si>
    <t>5 kelurahan</t>
  </si>
  <si>
    <t>Penyusunan Monografi</t>
  </si>
  <si>
    <t>Penyusunan Profil Kelurahan</t>
  </si>
  <si>
    <t>Jasa PATEN</t>
  </si>
  <si>
    <t>Jasa Administrasi</t>
  </si>
  <si>
    <t>KELURAHAN KOTABARU</t>
  </si>
  <si>
    <t>KELURAHAN DEMANGAN</t>
  </si>
  <si>
    <t>1 set gawang &amp; bola futsal, 1 set gawang &amp; bola basket, 1 set net &amp; bola voly, sarung tangan kiper,bendera,Seragam sepak bola</t>
  </si>
  <si>
    <t>KELURAHAN KLITREN</t>
  </si>
  <si>
    <t xml:space="preserve">20 orang 6 kali  </t>
  </si>
  <si>
    <t xml:space="preserve">60 ORANG </t>
  </si>
  <si>
    <t>kemantren Gondokusuman</t>
  </si>
  <si>
    <t>olahraga volly (FPK)</t>
  </si>
  <si>
    <t xml:space="preserve">Pengadaan Alat Kantor </t>
  </si>
  <si>
    <t>Sekretariat FPK Kemantren</t>
  </si>
  <si>
    <t>Pelatihan PPGD (pertolongan Pertama Kegawat Daruratan)</t>
  </si>
  <si>
    <t>Minimnya pengetahuan relawan di tingkat kemantren tentang PPGD</t>
  </si>
  <si>
    <t>Menjadikan relawan kemantren dapat menangani suatu kegawat daruratan dengan lebih sigap dan menambah kualitas relawan</t>
  </si>
  <si>
    <t>Forek (Forum Relawan Gondokusuman) - TKC Kemantren Gondokusuman</t>
  </si>
  <si>
    <t>1.400.0000</t>
  </si>
  <si>
    <t>Forum Relawan Gondokusuman - TKC Kemantren Gondokusuman</t>
  </si>
  <si>
    <t>Pertemuan rutin Triwulan yang sudah berjalan tapi belum bisa maksimal</t>
  </si>
  <si>
    <t>Memberikan informasi kepada pemerintah secara akurat yang ada di wilayah, dan memperkuat kelembagaan yang ada.</t>
  </si>
  <si>
    <t>FKDM (Forum Kewaspadaan Dini Masyarakat)</t>
  </si>
  <si>
    <t>4.000.000</t>
  </si>
  <si>
    <t>FPK (Forum Pembaurang Kebangsaan)</t>
  </si>
  <si>
    <t xml:space="preserve">50 orang x 4 kali </t>
  </si>
  <si>
    <t>Penguatan organisasi di kemantren</t>
  </si>
  <si>
    <t xml:space="preserve">Forum Relawan Gondokusuman </t>
  </si>
  <si>
    <t>Pengadaan Peralata Untuk menunjang operasional Forek/ TKC Kemantren</t>
  </si>
  <si>
    <t>Kurangnya peralatan yang dimiliki dalam menunjang operasional Forek/TKC Kemantren</t>
  </si>
  <si>
    <t>Mempermudah pelaksanaan kegiatan atau operasional Forek/ TKC Kemantren dalam melayani masyarakat</t>
  </si>
  <si>
    <t>19.600.000</t>
  </si>
  <si>
    <r>
      <t xml:space="preserve">Usulan Kegiatan/Permasalahan
</t>
    </r>
    <r>
      <rPr>
        <i/>
        <sz val="11"/>
        <color theme="1"/>
        <rFont val="Calibri"/>
        <family val="2"/>
      </rPr>
      <t>(sesuai kamus usulan)</t>
    </r>
  </si>
  <si>
    <r>
      <t xml:space="preserve">Konsep Kelurahan: </t>
    </r>
    <r>
      <rPr>
        <i/>
        <sz val="11"/>
        <color theme="1"/>
        <rFont val="Calibri"/>
        <family val="2"/>
      </rPr>
      <t>Pembuatan jalur sepeda untuk mendukung kesehatan dan perekonomian masyarakat</t>
    </r>
  </si>
  <si>
    <r>
      <t xml:space="preserve">Kode Usulan </t>
    </r>
    <r>
      <rPr>
        <i/>
        <sz val="11"/>
        <color theme="1"/>
        <rFont val="Calibri"/>
        <family val="2"/>
      </rPr>
      <t>(sesuai kamus usulan)</t>
    </r>
  </si>
  <si>
    <r>
      <t xml:space="preserve">Lokasi 
</t>
    </r>
    <r>
      <rPr>
        <i/>
        <sz val="11"/>
        <color theme="1"/>
        <rFont val="Calibri"/>
        <family val="2"/>
      </rPr>
      <t>(Alamat jelas dan lengkap)</t>
    </r>
    <r>
      <rPr>
        <sz val="11"/>
        <color theme="1"/>
        <rFont val="Calibri"/>
        <family val="2"/>
      </rPr>
      <t xml:space="preserve">
</t>
    </r>
  </si>
  <si>
    <r>
      <t xml:space="preserve">Uraian Kelompok Penerima Manfaat 
</t>
    </r>
    <r>
      <rPr>
        <i/>
        <sz val="11"/>
        <color theme="1"/>
        <rFont val="Calibri"/>
        <family val="2"/>
      </rPr>
      <t>(Diisi deskripsinya)</t>
    </r>
  </si>
  <si>
    <t xml:space="preserve">Fasilitasi Lembaga Kemasyarakatan </t>
  </si>
  <si>
    <t>40 org x 6 kali</t>
  </si>
  <si>
    <t>Kebutuhan koordinasi yg kompak antara pendamping dan ketua kelompok dalam menjalankan program PKH</t>
  </si>
  <si>
    <t>Terjalinya koordinasi yg kompak antara pendamping dan ketua kelompok dalam menjalankan program PKH</t>
  </si>
  <si>
    <t>Ketua Kelompok PKH</t>
  </si>
  <si>
    <t>Warga difable</t>
  </si>
  <si>
    <t>Kesehatan lansia dapat dimonitor</t>
  </si>
  <si>
    <t>vb</t>
  </si>
  <si>
    <t>Pelayanan bagi anak dengan disabilitas dapat diselenggarakan dan lebih mudah diakses</t>
  </si>
  <si>
    <t>Kesehatan warga diafabel dapat dimonitor</t>
  </si>
  <si>
    <t>Menambah ketrampilan dan wawasan pendidik PAUD</t>
  </si>
  <si>
    <t>pendidik PAUD</t>
  </si>
  <si>
    <t>siswa PAUD</t>
  </si>
  <si>
    <t>kesempatan menampilkan potensi anak didik</t>
  </si>
  <si>
    <t>Menambah ketrampilan warga difable</t>
  </si>
  <si>
    <t>Pelaku seni khususnya macapat</t>
  </si>
  <si>
    <t>Warga yg berminat dengan macapat</t>
  </si>
  <si>
    <t>Anak dan remaka</t>
  </si>
  <si>
    <t>Pengurus Mitra Keluarga</t>
  </si>
  <si>
    <t>Masyarakat dan Koordinator Bank Sampah warga</t>
  </si>
  <si>
    <t>Masyrakat umum</t>
  </si>
  <si>
    <t>Pengurus/panitia FKKS</t>
  </si>
  <si>
    <t>masyarakat, anggota FKKS</t>
  </si>
  <si>
    <t>Masyarakat dan pengurus FORMI</t>
  </si>
  <si>
    <t>Pengurus FKI</t>
  </si>
  <si>
    <t>Pengurus FORMI</t>
  </si>
  <si>
    <t>Masyarakat yg minat dg panembrama</t>
  </si>
  <si>
    <t>Warga lansia</t>
  </si>
  <si>
    <t>anggota PWRI</t>
  </si>
  <si>
    <t>warga masyarakat</t>
  </si>
  <si>
    <t>Stretcher/Bed Ambulance GEA YDC -3B 1 Unit Rp 6.800.000, Tabung Oksigen  1m3 tabung regulator dan troly tabung oksigen 2 unit @700.000, Meja pemulasaraan jenazah  lipat 1 unit Rp 5.000.000, Tandu Stretcher GEA YDC 4A/4B Alumunium 1 unit Rp 2.500.000, Keranda Jenazah  stainless steel 1 unit Rp 2.900.000, Kursi Roda 1 unit Rp 1.000.000</t>
  </si>
  <si>
    <t>Sarasehan FPK</t>
  </si>
  <si>
    <t>Masyarakat dan pengurus FKDM</t>
  </si>
  <si>
    <t xml:space="preserve">Peningkatan kapasitas kader mengenai perencanaan kehamilan. </t>
  </si>
  <si>
    <t>Warga masyarakrat dan kader posyandu</t>
  </si>
  <si>
    <t>Oengurus pokja bunda PAUD</t>
  </si>
  <si>
    <t>warga masyaraakt</t>
  </si>
  <si>
    <t>Forum Relawan Gondokusuman</t>
  </si>
  <si>
    <t>Pengurus TP PKK</t>
  </si>
  <si>
    <t>Masyarakat dan anggota Forkom UMKM</t>
  </si>
  <si>
    <t>Forum Poktan</t>
  </si>
  <si>
    <t>Pentas Kawasan / menampilkan seluruh potensi wisata pada suatu kawasan destinasi wisata dan sekitarnya</t>
  </si>
  <si>
    <t>Calender of Event / menempatkan suatu event wisata dari wilayah yang akan dimasukkan dalam media promosi</t>
  </si>
  <si>
    <t xml:space="preserve">Perlunya pemahaman manajemen usaha bagi para bisnis/usaha  kepada anggota  karang taruna dan anggota Formkom UMKM agar dapat maksimal dalam mengelola usahanya
</t>
  </si>
  <si>
    <t xml:space="preserve">• Menambah strategi bisnis bagi pelaku usaha
• Membuka peluang pasar usaha bagi pelaku usaha
</t>
  </si>
  <si>
    <t xml:space="preserve"> Karang Taruna dan Forkom UMKM Kemantren Gondokuman</t>
  </si>
  <si>
    <t>Fasilitasi FORKOMPIMKA</t>
  </si>
  <si>
    <t>Kader Bank Sampah</t>
  </si>
  <si>
    <t>warga masyarakat dan pengurus UP2K</t>
  </si>
  <si>
    <t xml:space="preserve">Pelatihan Boga </t>
  </si>
  <si>
    <t>masyarakat dan kader bank sampah</t>
  </si>
  <si>
    <t>Sertifikasi Pendamping Kewirausahaan</t>
  </si>
  <si>
    <t>Fasilitasi Ijin Usaha Industri bagi Industri Kecil Menengah (IKM)</t>
  </si>
  <si>
    <t>Para pelaku UMKM akan mendapatkan pendampingan  intensif</t>
  </si>
  <si>
    <t xml:space="preserve"> pelaku UMKM</t>
  </si>
  <si>
    <t xml:space="preserve">20 org </t>
  </si>
  <si>
    <t>Sekolah Wirausaha Indonesia</t>
  </si>
  <si>
    <t>mencetak wirausaha yang memiliki kemampuan wirausaha dan digital marketing</t>
  </si>
  <si>
    <t>Penguatan manajemen Karang Mitra Usaha (KAMU)</t>
  </si>
  <si>
    <t>18.01</t>
  </si>
  <si>
    <t>Pelatihan Craft Kain Perca</t>
  </si>
  <si>
    <t>Para pelaku UMKM dapat menambah skill baru dan sumber pemasukan baru</t>
  </si>
  <si>
    <t>Pelatihan Rumah Jahit</t>
  </si>
  <si>
    <t>19.09</t>
  </si>
  <si>
    <t>Pelatihan Menjahit Terampil</t>
  </si>
  <si>
    <t>Dinsosnakertrans</t>
  </si>
  <si>
    <t>Pelatihan Keuangan dan Pajak</t>
  </si>
  <si>
    <t>Pemberdayaan dan pengelolaan managemen Resiko bagi pelaku Wirausaha Baru</t>
  </si>
  <si>
    <t xml:space="preserve">Para pelaku UMKM memahami sistem manajemen keuangan </t>
  </si>
  <si>
    <t>Masyarakat dengan berbagai potensi daerah</t>
  </si>
  <si>
    <t>Bazaar  makanan daerah</t>
  </si>
  <si>
    <t>Pelatihan Kepariwisataan</t>
  </si>
  <si>
    <t>Konsultan Desa wisata</t>
  </si>
  <si>
    <t>Menggali potensi kelurahan dan membranding potensi untuk meningkatkan eksistensi kelurahan wisata</t>
  </si>
  <si>
    <t>26,22</t>
  </si>
  <si>
    <t>Perkerasan jalan pedestrian dengan pola dan warna tematik, pengecatan ttembok rumah, pemasangan lampu hias, dan penempatan pergola (lanjutan )</t>
  </si>
  <si>
    <t xml:space="preserve">   </t>
  </si>
  <si>
    <t>APBD</t>
  </si>
  <si>
    <t>ADI PRIYANTO</t>
  </si>
  <si>
    <t>REKAPITULASI PRIORITAS USULAN KEGIATAN KELURAHAN TAHUN 2023</t>
  </si>
  <si>
    <t>KELURAHAN KLITREN KEMANTREN GONDOKUSUMAN</t>
  </si>
  <si>
    <t>Form :  2</t>
  </si>
  <si>
    <t>NO urut</t>
  </si>
  <si>
    <t>KODE USULAN        (dari kamus usulan)</t>
  </si>
  <si>
    <t>USULAN Kegiatan/Permasalahan
(dari kamus usulan)</t>
  </si>
  <si>
    <t>Penjabaran permasalahan</t>
  </si>
  <si>
    <t>Manfaat  untuk masyarakat</t>
  </si>
  <si>
    <t>KELOMPOK SASARAN</t>
  </si>
  <si>
    <r>
      <t>LOKASI                        (</t>
    </r>
    <r>
      <rPr>
        <sz val="10"/>
        <color theme="1"/>
        <rFont val="Arial Narrow"/>
        <family val="2"/>
      </rPr>
      <t>Alamat jelas dan lengkap)</t>
    </r>
  </si>
  <si>
    <t>VOLUME beserta satuannya</t>
  </si>
  <si>
    <t>NAMA PD/                           UNIT KERJA</t>
  </si>
  <si>
    <r>
      <t xml:space="preserve">Uraian kelompok penerima manfaat
 </t>
    </r>
    <r>
      <rPr>
        <sz val="10"/>
        <color theme="1"/>
        <rFont val="Arial Narrow"/>
        <family val="2"/>
      </rPr>
      <t>(diisi dengan deskripsi)</t>
    </r>
  </si>
  <si>
    <t>KELURAHAN</t>
  </si>
  <si>
    <t>PD (termasuk Kemantren)</t>
  </si>
  <si>
    <t>lain - lain</t>
  </si>
  <si>
    <t>I</t>
  </si>
  <si>
    <t>USULAN STRATEGIS</t>
  </si>
  <si>
    <t>II</t>
  </si>
  <si>
    <t>USULAN UTAMA</t>
  </si>
  <si>
    <t>Konsep : Percepatan Pembanguanan Kelurahan Klitren Nyaman huni, indah, ramah, Berbudaya, tertib dan aman menjadi tujuan wisata Perkotaan</t>
  </si>
  <si>
    <t>PUPKP
Kota Yk</t>
  </si>
  <si>
    <t>Pengembangan kapasitas SDM petugas Linmas</t>
  </si>
  <si>
    <t>Meningkatnya ketrampilan dan kemampuan dalam pelaksanaan tugas anggota linmas kelurahan</t>
  </si>
  <si>
    <t>SatpolPP
Kota Yk</t>
  </si>
  <si>
    <t>Penyuluhan kesehatan Lansia</t>
  </si>
  <si>
    <t>7.15</t>
  </si>
  <si>
    <t>Penyuluhan tentang pencegahan dan Pengendalian Penyakit TBC</t>
  </si>
  <si>
    <t>9.03</t>
  </si>
  <si>
    <t>Lingkungan Hidup</t>
  </si>
  <si>
    <t>Pelatihan dan peningkatan fasilitas dan kapatstas administrasi Bank Sampah</t>
  </si>
  <si>
    <t>Gelar Potensi PAUD di wilayah</t>
  </si>
  <si>
    <t>Pelatihan penanganan bencana : banjir , kebakaran ( alat KTB )</t>
  </si>
  <si>
    <t>Simpatisan dan anggota KTB</t>
  </si>
  <si>
    <t>Kemantren
GK</t>
  </si>
  <si>
    <t>Pelatihan Budaya : Bregodo Klitren</t>
  </si>
  <si>
    <t>Pelatihan Kepariwisataan di wilayah : penguatan kelembagaan Pariwisata</t>
  </si>
  <si>
    <t>Menguatkan kelembagaan dan kemampuan Pokdarwis Kliktren</t>
  </si>
  <si>
    <t>Pelatihan Kepariwisataan di wilayah : Penggalian potensi wisata</t>
  </si>
  <si>
    <t xml:space="preserve">Tergalinya potensi dan tatakelola wisata Kelurahan Klitren </t>
  </si>
  <si>
    <t>Pelatihan Kepariwisataan di wilayah : Manajemen Pariwisata</t>
  </si>
  <si>
    <t>Tersusunya manajemen paket wisata Kelurahan Klitren</t>
  </si>
  <si>
    <t>Pelatihan kerajinan di wilayah :: batik Jumputan lanjutan</t>
  </si>
  <si>
    <t>Sarasehan kebangsaan dan ketahanan nasional : kerukunan umat beragama</t>
  </si>
  <si>
    <t>Fasilitasi Lembaga masyarakat : Pengurus PKK TR/RW dan TPPKK</t>
  </si>
  <si>
    <t>Meningkatkan pengetahuan pengurus  PKK RT dan RW dalam mengisi SIM PKK</t>
  </si>
  <si>
    <t>Pengadaan Seragam dan Alat Musik Bregodo Klitren</t>
  </si>
  <si>
    <t>Dispar Kota Yk</t>
  </si>
  <si>
    <t>Sarana dan prasarana di Wilayah</t>
  </si>
  <si>
    <t>PUPKP 
Kota Yk</t>
  </si>
  <si>
    <t>Pengadaan dan Pelatihan penggunaan mesin pencacah sampah rumah tangga</t>
  </si>
  <si>
    <t>Meningkatnya pengetahuan masyarakat cara mengolah sampah organik dari rumah tangga</t>
  </si>
  <si>
    <t>Sarana dan Prasarana di Wilayah : Fasilitasi Sarpras bukan bangunan )</t>
  </si>
  <si>
    <t>Pengolahan sampah organik : Pembuatan Demplot Magoot</t>
  </si>
  <si>
    <t>Sarana dan Prasarana di Wilayah : Sarana Pelengkap</t>
  </si>
  <si>
    <t xml:space="preserve">Kampun Klitren Lor RW 01 dan RW 04/ 05 </t>
  </si>
  <si>
    <t xml:space="preserve"> 2 Unit</t>
  </si>
  <si>
    <t>III</t>
  </si>
  <si>
    <t>USULAN PENDUKUNG</t>
  </si>
  <si>
    <t xml:space="preserve">Konsep : Pemantapan sarana dan prasarana wilayah dan pemberdayaan masyarakat  guna mendukung pencapaian kampung wisata Nyaman , indah, ramah, Berbudaya, tertib dan aman </t>
  </si>
  <si>
    <t>2;07</t>
  </si>
  <si>
    <t>Infrasturuktur jalan dan jembatan</t>
  </si>
  <si>
    <t>PUPKP
 Kota Yk</t>
  </si>
  <si>
    <t>PUPKP Kota Yk</t>
  </si>
  <si>
    <t>SatPolPP Kota Yk</t>
  </si>
  <si>
    <t>kesehatan</t>
  </si>
  <si>
    <t>DinsosNakerTrans Kota Yk</t>
  </si>
  <si>
    <t>9.01</t>
  </si>
  <si>
    <t>BPBD 
Kota Yk</t>
  </si>
  <si>
    <t>DPMP2A</t>
  </si>
  <si>
    <t>13.03</t>
  </si>
  <si>
    <t>Pelatihan dan Simulasi peningkatan kapasitas tanggap bencana</t>
  </si>
  <si>
    <t xml:space="preserve">13.08 </t>
  </si>
  <si>
    <t>Pelatihan Budaya : Pembinaan Potensi Seni dan Budaya</t>
  </si>
  <si>
    <t>Pemberdayaan Masyarakat di Wilayah : Fasilitasi Lembaga kemasyarakatan</t>
  </si>
  <si>
    <t>Satpol PP Kota Yk</t>
  </si>
  <si>
    <t>DP3AP2KB Kota Yk</t>
  </si>
  <si>
    <t>Kemantren GK</t>
  </si>
  <si>
    <t xml:space="preserve">Akreditasi Rintisan Kelurahan Budaya </t>
  </si>
  <si>
    <t>Kundho Kabudayan Kota Yk</t>
  </si>
  <si>
    <t>Pendampingan sentra bagi Industri kecil menengah ( IKM )</t>
  </si>
  <si>
    <t>DisPerinKop UKM Kota Yk</t>
  </si>
  <si>
    <t>Pentas kawasan sebagai destinasi dan potensi wisata : Lomba Mural</t>
  </si>
  <si>
    <t>DISPAR</t>
  </si>
  <si>
    <t>Pentas kawasan sebagai destinasi dan potensi wisata :pengecetan tembok rumah</t>
  </si>
  <si>
    <t>Lingkungan asri dan nyaman sebagai potensi kampung wisata</t>
  </si>
  <si>
    <t>Tersedianya air bersih dan menjaga kesehatan lingkungan</t>
  </si>
  <si>
    <t>PUPKP</t>
  </si>
  <si>
    <t>Dishub
Kota Yk</t>
  </si>
  <si>
    <t>Sarana dan Prasarana Wilayah</t>
  </si>
  <si>
    <t>Belanja modal perkerasan jalan rabat beton dan paving blok</t>
  </si>
  <si>
    <r>
      <t>354 m</t>
    </r>
    <r>
      <rPr>
        <sz val="12"/>
        <color theme="1"/>
        <rFont val="Calibri"/>
        <family val="2"/>
      </rPr>
      <t>²</t>
    </r>
  </si>
  <si>
    <t>IV</t>
  </si>
  <si>
    <t>USULAN OPERASIONAL</t>
  </si>
  <si>
    <t xml:space="preserve">Konsep : Pemantapan pelayanan dan pemberdayaan masyarakat secara terintegrasi guna mendukung pencapaian sasaran pembangunan manusia di Kelurahan Klitren </t>
  </si>
  <si>
    <t>Pembinaan Pelaksanaan Jam Belajar Masyarakat (JBM).</t>
  </si>
  <si>
    <t xml:space="preserve">Fasilitasi Piket PAM Wilayah dan Keagamaan oleh Sat Linmas </t>
  </si>
  <si>
    <t>Fasilitasi : Rapat pengurus LPMK dan RW</t>
  </si>
  <si>
    <t>REKAPITULASI JUMLAH ANGGARAN :</t>
  </si>
  <si>
    <t>Yogyakarta, 20 Januari 2022</t>
  </si>
  <si>
    <t>NO.</t>
  </si>
  <si>
    <t>U S U L A N</t>
  </si>
  <si>
    <t>JUMLAH ANGGARAN (Rp)</t>
  </si>
  <si>
    <t>MENGETAHUI</t>
  </si>
  <si>
    <t>KETUA LPMK KELURAHAN KLITREN,</t>
  </si>
  <si>
    <t>1.</t>
  </si>
  <si>
    <t>STRATEGIS</t>
  </si>
  <si>
    <t>LURAH KLITREN,</t>
  </si>
  <si>
    <t>2.</t>
  </si>
  <si>
    <t>UTAMA</t>
  </si>
  <si>
    <t>3.</t>
  </si>
  <si>
    <t>PENDUKUNG</t>
  </si>
  <si>
    <t>4.</t>
  </si>
  <si>
    <t>OPERASIONAL</t>
  </si>
  <si>
    <t xml:space="preserve">JUMLAH : </t>
  </si>
  <si>
    <t>AKHMAD ZAINURI, S.Sos</t>
  </si>
  <si>
    <t>NIP. 197609041989031007</t>
  </si>
  <si>
    <t>5.</t>
  </si>
  <si>
    <t xml:space="preserve">JUMLAH 3 USULAN : U+P+O </t>
  </si>
  <si>
    <t>6.</t>
  </si>
  <si>
    <t xml:space="preserve">PAGU ANGGARAN USULAN </t>
  </si>
  <si>
    <t>SELISIH :</t>
  </si>
  <si>
    <t>DANA STRATEGIS KELURAHAN BACIRO</t>
  </si>
  <si>
    <t>NO URUT</t>
  </si>
  <si>
    <t>USULAN</t>
  </si>
  <si>
    <t>DETIL USULAN</t>
  </si>
  <si>
    <t>MANFAAT</t>
  </si>
  <si>
    <t>LOKASI</t>
  </si>
  <si>
    <t>VOLUME</t>
  </si>
  <si>
    <t>PEMBIAYAAN</t>
  </si>
  <si>
    <t>NAMA OPD</t>
  </si>
  <si>
    <t>URAIAN</t>
  </si>
  <si>
    <t>OPD</t>
  </si>
  <si>
    <t>LAIN2</t>
  </si>
  <si>
    <t>I. USULAN STRATEGIS KAMPUNG BACIRO SANGGRAHAN KELURAHAN BACIRO</t>
  </si>
  <si>
    <t>1. Tanaman Vertikal</t>
  </si>
  <si>
    <t xml:space="preserve">1. Dinding jalan mawar sepanjang sisi utara jalan mawar gang </t>
  </si>
  <si>
    <t>RW 11,</t>
  </si>
  <si>
    <t>100 M2</t>
  </si>
  <si>
    <t>90 m2</t>
  </si>
  <si>
    <t>2. Pembuatan Taman</t>
  </si>
  <si>
    <t>2. Mawar gang 2 Notog kelurahan pembuatan taman agar lebih tertata</t>
  </si>
  <si>
    <t>10 M2</t>
  </si>
  <si>
    <t>3. Pergola dan tanaman</t>
  </si>
  <si>
    <t>3. Perempatan perbatasan RW 11dan 12 di buat pergola dan tanaman</t>
  </si>
  <si>
    <t>RW 11,12</t>
  </si>
  <si>
    <t>10 Unit</t>
  </si>
  <si>
    <t>4.  Penanaman tanaman buah</t>
  </si>
  <si>
    <t>4. Gapura RW 12 di percantik di buat taman kanan dan kiri su paya tidak untuk parkir</t>
  </si>
  <si>
    <t>RW12</t>
  </si>
  <si>
    <t>100 pohon</t>
  </si>
  <si>
    <t>Taman dan kelengkapan</t>
  </si>
  <si>
    <t>6. Mempercantik Lingkungan Fasum RW 13 dengan penataan taman di sekitar lapangan</t>
  </si>
  <si>
    <t>RW13</t>
  </si>
  <si>
    <t xml:space="preserve"> Mempercantik tampilan Gapura Gang Kenikir dan Gang Lembayung</t>
  </si>
  <si>
    <t>40 m2</t>
  </si>
  <si>
    <t>dengan Runing Tex dengan tulisan Selamat Datang di RW 13 Kampung Baciro Sanggrahan</t>
  </si>
  <si>
    <t>4 buah</t>
  </si>
  <si>
    <t xml:space="preserve"> KAMPUNG MANGKUKUSUMAN KELURAHAN BACIRO</t>
  </si>
  <si>
    <t>I. USULAN UTAMA</t>
  </si>
  <si>
    <t>Kampung Hijau</t>
  </si>
  <si>
    <t>Pelatihan Budidaya Sayur</t>
  </si>
  <si>
    <t>Mangkukusuman</t>
  </si>
  <si>
    <t>DIPERTAN</t>
  </si>
  <si>
    <t>Pelatihan Hidroponik</t>
  </si>
  <si>
    <t>Pelatihan Daur Ulang Sampah</t>
  </si>
  <si>
    <t>30 orng</t>
  </si>
  <si>
    <t>Perbaikan konblok</t>
  </si>
  <si>
    <t>Mangkukusuman RT 08</t>
  </si>
  <si>
    <t>69 m2</t>
  </si>
  <si>
    <t>Drainase</t>
  </si>
  <si>
    <t>Perbaikan</t>
  </si>
  <si>
    <t>Mangkukusuman RT 05</t>
  </si>
  <si>
    <t>132 m</t>
  </si>
  <si>
    <t xml:space="preserve">Perbaikan </t>
  </si>
  <si>
    <t>Mangkukusuman RT 07</t>
  </si>
  <si>
    <t>Pembuatan Sumur peresapan</t>
  </si>
  <si>
    <t>Pemeliharaan Jembatan</t>
  </si>
  <si>
    <t>Perbaikan Jembatan</t>
  </si>
  <si>
    <t>Mangkukusuman RT 09</t>
  </si>
  <si>
    <t xml:space="preserve"> 1 bh</t>
  </si>
  <si>
    <t>Perbaikan Talud</t>
  </si>
  <si>
    <t>36 m2</t>
  </si>
  <si>
    <t>KAMPUNG BUDAYA</t>
  </si>
  <si>
    <t xml:space="preserve">Seragam Bergodo </t>
  </si>
  <si>
    <t>Kampung Mangkukusuman</t>
  </si>
  <si>
    <t>50 set</t>
  </si>
  <si>
    <t>DANAIS</t>
  </si>
  <si>
    <t>Pembentukan Bregodo mangkukusumo, membentuk kepengurusan bregodo, pengadaan peralatan dan seragam, latihan bregodo mengoptimalkan potensi budaya dan menggali budaya yang ada di masyarakat Mangkukusuman</t>
  </si>
  <si>
    <t>PHBS</t>
  </si>
  <si>
    <t>pengadaan tempat cuci tangan di tiap rumah</t>
  </si>
  <si>
    <t>Mangkukusuman RW 01</t>
  </si>
  <si>
    <t>20 unit</t>
  </si>
  <si>
    <t>Dinkes</t>
  </si>
  <si>
    <t>Inventaris</t>
  </si>
  <si>
    <t>peralatan bank sampah: timbangan, meja kursi</t>
  </si>
  <si>
    <t>Jumlah</t>
  </si>
  <si>
    <t>KAMPUNG DANUKUSUMAN KELURAHAN BACIRO</t>
  </si>
  <si>
    <t>SAH</t>
  </si>
  <si>
    <t>pembuatan saluran air hujan</t>
  </si>
  <si>
    <t>Ramah Lingkungan</t>
  </si>
  <si>
    <t xml:space="preserve">Warga </t>
  </si>
  <si>
    <t>RW 04; Gang Sumarlan</t>
  </si>
  <si>
    <t>130m</t>
  </si>
  <si>
    <t xml:space="preserve"> SAL</t>
  </si>
  <si>
    <t>perbaikan SAL</t>
  </si>
  <si>
    <t xml:space="preserve">Air limbah tersalur dengan baik, tidak menggenang, tersumbat dan berbau </t>
  </si>
  <si>
    <t>Menghindari pencemaran lingkungan dan polusi udara</t>
  </si>
  <si>
    <t>RW 05; RT 16</t>
  </si>
  <si>
    <t>100 meter</t>
  </si>
  <si>
    <t>Pembuatan saluran limbah</t>
  </si>
  <si>
    <t>RW 05; RT 17 Gang Sukandar</t>
  </si>
  <si>
    <t>200 meter</t>
  </si>
  <si>
    <t>Pembuatan Sumur Resapan</t>
  </si>
  <si>
    <t xml:space="preserve">menghindari genangan air saat hujan </t>
  </si>
  <si>
    <t>Menghindari banjir dan pencemaran lingkungan</t>
  </si>
  <si>
    <t>RW 05; RT 18</t>
  </si>
  <si>
    <t>4 TITIK</t>
  </si>
  <si>
    <t>Paving Blok</t>
  </si>
  <si>
    <t>Penggantian corblok menjadi Paving Blok</t>
  </si>
  <si>
    <t>RW 04; Belakang Asrama Ranggonang (RT 11)</t>
  </si>
  <si>
    <t>70m x 3m</t>
  </si>
  <si>
    <t>Penanda Wilayah RW</t>
  </si>
  <si>
    <t>Pembuatan Gapura  RW 04</t>
  </si>
  <si>
    <t>Informasi warga</t>
  </si>
  <si>
    <t>RW 04; timur jembatan Kali manunggal</t>
  </si>
  <si>
    <t>Lebar: 5m; Tinggi: 5m</t>
  </si>
  <si>
    <t>Pemasangan PJU Lingkungan</t>
  </si>
  <si>
    <t>Jalan terang</t>
  </si>
  <si>
    <t>RW 04; Gg Sumarlan + Gg Pawiro</t>
  </si>
  <si>
    <t>10 bh</t>
  </si>
  <si>
    <t>Program penerangan</t>
  </si>
  <si>
    <t>Keamanan Kampung</t>
  </si>
  <si>
    <t xml:space="preserve"> RW. 06</t>
  </si>
  <si>
    <t>Ganti  bola lampu kuning menjadi putih</t>
  </si>
  <si>
    <t>RTLH, Sumini</t>
  </si>
  <si>
    <t>RT 23 RW 06</t>
  </si>
  <si>
    <t>1 UNIT</t>
  </si>
  <si>
    <t>RTLH, Saidi</t>
  </si>
  <si>
    <t>RTLH,Sumadi</t>
  </si>
  <si>
    <t>RT 14 RW 04</t>
  </si>
  <si>
    <t>Sosialisasi</t>
  </si>
  <si>
    <t>Sosialisasi Kerukunan Umat Beragama</t>
  </si>
  <si>
    <t>Kerukunan Warga</t>
  </si>
  <si>
    <t xml:space="preserve"> 50 Orang</t>
  </si>
  <si>
    <t>Kemenag</t>
  </si>
  <si>
    <t>Sosialisasi Pancasila</t>
  </si>
  <si>
    <t>Kecintaan pada negara</t>
  </si>
  <si>
    <t>Tingkat RW</t>
  </si>
  <si>
    <t>Kesbangpor</t>
  </si>
  <si>
    <t>Sosialisasi Cara Hidup Sehat</t>
  </si>
  <si>
    <t>Kesehatan Warga</t>
  </si>
  <si>
    <t>Sosialisasi KDRT</t>
  </si>
  <si>
    <t>Kedisiplinan Warga</t>
  </si>
  <si>
    <t>Sosialisasi JSS</t>
  </si>
  <si>
    <t>Paham IT</t>
  </si>
  <si>
    <t>Kominfo</t>
  </si>
  <si>
    <t>Sosialisasi Kerukunan Umat Beragama dan Pancasila</t>
  </si>
  <si>
    <t>Kerukunan Warga dan Cinta Tanah Air dan Bangsa</t>
  </si>
  <si>
    <t>Sosialisasi Pergaulan Remaja dan Lalu Lintas</t>
  </si>
  <si>
    <t>Budi Pekerti dan Norma-norma Warga (Remaja)</t>
  </si>
  <si>
    <t>Sosialisasi Kesehatan Ibu, KB dan Anak</t>
  </si>
  <si>
    <t>Kesehatan Ibu dan Anak</t>
  </si>
  <si>
    <t>Sosialisasi Jogja Smart Service</t>
  </si>
  <si>
    <t>Pemahaman Teknologi dan Sistem Online Pemerintahan</t>
  </si>
  <si>
    <t>Penghijauan</t>
  </si>
  <si>
    <t>Taman Strawberry</t>
  </si>
  <si>
    <t>DISPERTAN</t>
  </si>
  <si>
    <t>Belajar Bertanam</t>
  </si>
  <si>
    <t>Tempat Tanaman</t>
  </si>
  <si>
    <t>25 unit</t>
  </si>
  <si>
    <t>Penghijauan Tanaman Hidup</t>
  </si>
  <si>
    <t xml:space="preserve">Penghijauan, keindahan, dan mendukung </t>
  </si>
  <si>
    <t xml:space="preserve">Menambah keindahan </t>
  </si>
  <si>
    <t>RW 05; RT 17 Jl. Widayati Sutarjo</t>
  </si>
  <si>
    <t>150 meter</t>
  </si>
  <si>
    <t>Pengadaan Almari Posyandu</t>
  </si>
  <si>
    <t>Keamanan dan</t>
  </si>
  <si>
    <t>Yandu Lansia</t>
  </si>
  <si>
    <t>3 buah</t>
  </si>
  <si>
    <t>DPBGAD</t>
  </si>
  <si>
    <t>Pengadaan Clip-on untuk senam</t>
  </si>
  <si>
    <t>melengkapi sarana</t>
  </si>
  <si>
    <t>Ibu-ibu</t>
  </si>
  <si>
    <t>Penyimpanan File Posyandu, Lansia, Balita, Paud dan lain-lain</t>
  </si>
  <si>
    <t>Kerapian dan keamanan file</t>
  </si>
  <si>
    <t>Yandu, Lansia, Balita, Paud</t>
  </si>
  <si>
    <t>Yandu RW 05</t>
  </si>
  <si>
    <t>Perawatan Biofil</t>
  </si>
  <si>
    <t>Penyedotan rutin &amp; pembelian obat-obatan</t>
  </si>
  <si>
    <t>2 buah</t>
  </si>
  <si>
    <t>CCTV</t>
  </si>
  <si>
    <t>Alat CCTV</t>
  </si>
  <si>
    <t>KOMINFO</t>
  </si>
  <si>
    <t>Talut</t>
  </si>
  <si>
    <t>Pemeliharaan talut Sungai Manunggal</t>
  </si>
  <si>
    <t>Warga Pinggir</t>
  </si>
  <si>
    <t>RW 06; RT. 22</t>
  </si>
  <si>
    <t>2,5 m x 185</t>
  </si>
  <si>
    <t>Portal</t>
  </si>
  <si>
    <t>Pembuatan portal gang</t>
  </si>
  <si>
    <t>Keamanan dari Jl. Dr. Sutomo ke arah Gang Sukandar (RT 16)</t>
  </si>
  <si>
    <t>Warga RT 16</t>
  </si>
  <si>
    <t>RW 05; Jl. Dr. Sutomo</t>
  </si>
  <si>
    <t>Air Bersih</t>
  </si>
  <si>
    <t>Instalasi air bersih</t>
  </si>
  <si>
    <t>Pencegahan penyakit yang disebabkan air tercemar</t>
  </si>
  <si>
    <t>Kualitas air yang tercemar</t>
  </si>
  <si>
    <t>RW 05; RT 18 Taman Pinggir Sungai</t>
  </si>
  <si>
    <t>Perbaikan Atap Balai Pertemuan Kampung Danukusuman</t>
  </si>
  <si>
    <t>Perbaikan Atap Balai Pertemuan Warga</t>
  </si>
  <si>
    <t>Sarana Kegiatan Warga RW 05 dan Kampung Danukusuman</t>
  </si>
  <si>
    <t>Mendukung Kegiatan Warga</t>
  </si>
  <si>
    <t>Balai Pertemuan RW 05</t>
  </si>
  <si>
    <t>Sejarah/profil Kampung Danukusuman</t>
  </si>
  <si>
    <t>Pembuatan Sejarah Kampung</t>
  </si>
  <si>
    <t>Spy tdk kehilangan jejak/sejarah kampung bagi generasi penerus</t>
  </si>
  <si>
    <t>Kampung Danukusuman</t>
  </si>
  <si>
    <t>1 unit {meliputi biaya nara sumber, rapat2, alat2, cetak, dll}</t>
  </si>
  <si>
    <t>Bergodo Kampung</t>
  </si>
  <si>
    <t>Nguri-uri budaya luhung</t>
  </si>
  <si>
    <t>Menjaga budaya daerah dan mengakrabkan warga se kampung</t>
  </si>
  <si>
    <t>65 orang bergodo (45 pria+20 putri)</t>
  </si>
  <si>
    <t>Dodolan Kampung</t>
  </si>
  <si>
    <t>pembuatan lapak</t>
  </si>
  <si>
    <t>Menggiatkan ekonomi dan mengakrabkan warga se kampung</t>
  </si>
  <si>
    <t>10 kios</t>
  </si>
  <si>
    <t>Menghijaukan Kampung</t>
  </si>
  <si>
    <t>Penghijauan Kampung</t>
  </si>
  <si>
    <t>Meningkatkan pemanfaatan lahan/ekonomi warga dan mendukung program pemkot</t>
  </si>
  <si>
    <t>1 unit (meliputi 30 kr media, 30 kr pupuk, 12 bibit, 75 pot, pelatihan anggur)</t>
  </si>
  <si>
    <t>KAMPUNG PENGOK KIDUL KELURAHAN BACIRO</t>
  </si>
  <si>
    <t>Pariwisata Budaya</t>
  </si>
  <si>
    <t>Festival Keroncong Remaja Tingkat Kota</t>
  </si>
  <si>
    <t>Menggalakkan musik keroncong di kalangan remaja
Lebih mengenalkan Kampung Pengok Kidul sebagai kampung wisata</t>
  </si>
  <si>
    <t>Kedai Casper</t>
  </si>
  <si>
    <t>Disparbud</t>
  </si>
  <si>
    <t>Pelatihan Seni :
Seni Tari
Seni Musik
Seni Teater
Angklung</t>
  </si>
  <si>
    <t>Mendekatkan budaya asli Indonesia kepada warga khususnya remaja dan lansia</t>
  </si>
  <si>
    <t>Mingguan</t>
  </si>
  <si>
    <t>Pengembangan Kerajinan:
Sibori
Batik Nitik
Reuse Sampah</t>
  </si>
  <si>
    <t>Pengembangan khasana kerajinan dan mendukung ekonomi kreatif berbasis masyarakat</t>
  </si>
  <si>
    <t>Balai RW 07</t>
  </si>
  <si>
    <t>Pengelolaan Lingkungan</t>
  </si>
  <si>
    <t>Jaring Sampah</t>
  </si>
  <si>
    <t>Menjaga kebersihan sungai khususnya di wilayah RW 7
Memudahkan dalam membersihkan sampah</t>
  </si>
  <si>
    <t>Sungai Manunggal</t>
  </si>
  <si>
    <t>Lorong Markisa</t>
  </si>
  <si>
    <t>Penghijauan dan mendukung kegiatan ekonomi kreatif warga sebagai produsen sirup</t>
  </si>
  <si>
    <t>RT 24</t>
  </si>
  <si>
    <t>100m</t>
  </si>
  <si>
    <t>Restocking ikan sungai</t>
  </si>
  <si>
    <t>Konservasi sungai dan mendukung ekonomi kreatif warga sebagai produsen abon ikan</t>
  </si>
  <si>
    <t>Penggiatan Bank Sampah</t>
  </si>
  <si>
    <t>Mengaktifkan kembali Bank Sampah yang terhenti semasa Pandemi
Mendisiplinkan warga dalam memilah sampah</t>
  </si>
  <si>
    <t>RW 07</t>
  </si>
  <si>
    <t>Komposisasi Sampah Dapur</t>
  </si>
  <si>
    <t>Produksi pupuk skala keluarga
Mengurangi sampah dibuang ke TPS</t>
  </si>
  <si>
    <t>PAUD Terpadu Kelurahan Baciro</t>
  </si>
  <si>
    <t>Pendidikan PAUD terpadu</t>
  </si>
  <si>
    <t>Disdik</t>
  </si>
  <si>
    <t>Gebyar PAUD Kelurahan Baciro</t>
  </si>
  <si>
    <t>Arena unjuk kompetensi siswa PAUD</t>
  </si>
  <si>
    <t>Bimbingan Belajar SD-SMA</t>
  </si>
  <si>
    <t>Penambahan jam belajar</t>
  </si>
  <si>
    <t>Sekolah Bunda</t>
  </si>
  <si>
    <t>Meningkatkan ilmu Ibu-ibu</t>
  </si>
  <si>
    <t>Bulanan</t>
  </si>
  <si>
    <t>Ekonomi Kreatif</t>
  </si>
  <si>
    <t>Pembentukan Ekosistem Usaha Berbasis Digital</t>
  </si>
  <si>
    <t>Mengarahkan usaha mikro ke usaha berbasis digital/online</t>
  </si>
  <si>
    <t>DIPERINDAGKOPTAN</t>
  </si>
  <si>
    <t>Pengaktifan Kantin Boga Baciro (pusat oleh-oleh)</t>
  </si>
  <si>
    <t>Mendukung pemasaran UPPKS Rejeki Rahayu</t>
  </si>
  <si>
    <t>Persiapan Stream Outbond:
Flying Fox
Canoe
Pillow Fight</t>
  </si>
  <si>
    <t>Kegiatan mengakses sungai sebagai arena wisata
Penyiapan lahan untuk stream outbond</t>
  </si>
  <si>
    <t>II. USULAN PENDUKUNG</t>
  </si>
  <si>
    <t>Seni Budaya</t>
  </si>
  <si>
    <t>Pengadaan Angklung</t>
  </si>
  <si>
    <t>Memberdayakan warga lansia</t>
  </si>
  <si>
    <t>Kerajinan</t>
  </si>
  <si>
    <t>Pelatihan lanjutan sibori</t>
  </si>
  <si>
    <t>Mendukung ekonomi kreatif berbasis pariwisata budaya</t>
  </si>
  <si>
    <t>Pelatihan Batik Nitik</t>
  </si>
  <si>
    <t>Lingkungan</t>
  </si>
  <si>
    <t>Resosialisasi Pemilahan Sampah</t>
  </si>
  <si>
    <t>Meningkatkan kedisiplinan pemilahan sampah</t>
  </si>
  <si>
    <t>Penghijauan tanaman keras sepanjang Sungai Manunggal</t>
  </si>
  <si>
    <t>Mencegah talud longsor</t>
  </si>
  <si>
    <t>Kampung Ramah Anak</t>
  </si>
  <si>
    <t>Pojok Kunsultasi Psikologi</t>
  </si>
  <si>
    <t>Pendampingan psikologi untuk keluarga</t>
  </si>
  <si>
    <t>DPMPPA</t>
  </si>
  <si>
    <t>Pojok Kunsultasi Hukum</t>
  </si>
  <si>
    <t>Pendampingan hukum untuk keluarga</t>
  </si>
  <si>
    <t>Pojok Kunsultasi Gizi</t>
  </si>
  <si>
    <t>Pendampingan ilmu gizi untuk keluarga</t>
  </si>
  <si>
    <t>DINKES</t>
  </si>
  <si>
    <t>Meneruskan gandeng gendong dengan kampus</t>
  </si>
  <si>
    <t>Menjaga keberlangsungan Kelompok Belajar Masyarakat Taman Widya</t>
  </si>
  <si>
    <t>III. USULAN OPERASIONAL</t>
  </si>
  <si>
    <t>Latihan Seni</t>
  </si>
  <si>
    <t>Latihan Musik Remaja</t>
  </si>
  <si>
    <t>Meningkatkan cinta seni budaya lokal</t>
  </si>
  <si>
    <t>Latihan Angklung Lansia</t>
  </si>
  <si>
    <t>Latihan Seni Teater</t>
  </si>
  <si>
    <t>Latihan Seni Tari</t>
  </si>
  <si>
    <t>Sekolah alam untuk PAUD</t>
  </si>
  <si>
    <t>Mengenalkan PAUD kepada alam</t>
  </si>
  <si>
    <t>Taman Lalu Lintas</t>
  </si>
  <si>
    <t>Kampung Keluarga Berkualitas</t>
  </si>
  <si>
    <t>Bina Keluarga Balita</t>
  </si>
  <si>
    <t>Pendampingan bagi keluarga yang memiliki anak balita, khususnya untuk menekan angka stunting</t>
  </si>
  <si>
    <t>Bina Keluarga Remaja</t>
  </si>
  <si>
    <t>Pendampingan bagi keluarga yang memiliki anak remaja</t>
  </si>
  <si>
    <t>Bina Keluarga Lansia</t>
  </si>
  <si>
    <t>Pendampingan bagi keluarga yang memiliki lansia</t>
  </si>
  <si>
    <t>Pusat Informasi &amp; Konsultasi Remaja</t>
  </si>
  <si>
    <t>Ajang diskusi bagi remaja untuk menekan angka stunting</t>
  </si>
  <si>
    <t>Pojok Data Kependudukan</t>
  </si>
  <si>
    <t>Memberikan support data kepada pengambil keputusan di tingkat kampung</t>
  </si>
  <si>
    <t>Sistem Informasi Keluarga</t>
  </si>
  <si>
    <t>Mengaplikasikan SIGA dalam pengambilan keputusan</t>
  </si>
  <si>
    <t>Dashat</t>
  </si>
  <si>
    <t>Dapur Sehat Balita Atasi Stunting</t>
  </si>
  <si>
    <t>Cagar Budaya</t>
  </si>
  <si>
    <t>Perawatan Radio Umum</t>
  </si>
  <si>
    <t>Pelestarian cagar budaya</t>
  </si>
  <si>
    <t>Masjid Darul Husna</t>
  </si>
  <si>
    <t>Pengurusan Sertifikat Hak Pakai MDH</t>
  </si>
  <si>
    <t>Memberikan kepastian hak hukum bagi Masjid Darul Husna</t>
  </si>
  <si>
    <t>BPN</t>
  </si>
  <si>
    <t>KTB</t>
  </si>
  <si>
    <t>Pelatihan Kebencanaan</t>
  </si>
  <si>
    <t>Meningkatkan potensi kader penanganan bencana di wilayah</t>
  </si>
  <si>
    <t>2x</t>
  </si>
  <si>
    <t xml:space="preserve"> KAMPUNG BACIRO KELURAHAN BACIRO</t>
  </si>
  <si>
    <t>Peningkatan/Pembangunan Lingkungan sebagai pendukung Kampung Wisata Kreatif Berbasis Sejarah</t>
  </si>
  <si>
    <t>Sarana Umum</t>
  </si>
  <si>
    <t>Pembuatan Gapura</t>
  </si>
  <si>
    <t>Penanda Wilayah</t>
  </si>
  <si>
    <t>1 Unit</t>
  </si>
  <si>
    <t>Cermin cembung</t>
  </si>
  <si>
    <t>kenyamanan lalu lintas</t>
  </si>
  <si>
    <t>8 Unit</t>
  </si>
  <si>
    <t>Wifi</t>
  </si>
  <si>
    <t xml:space="preserve">Informasi </t>
  </si>
  <si>
    <t>RW ,10</t>
  </si>
  <si>
    <t>Cermin Tikungan</t>
  </si>
  <si>
    <t>Keamanan</t>
  </si>
  <si>
    <t>RW 10, 21</t>
  </si>
  <si>
    <t>6 Unit</t>
  </si>
  <si>
    <t>Pembuatan Gudang Peralatan RT &amp; RW</t>
  </si>
  <si>
    <t>Penyimpanan alat</t>
  </si>
  <si>
    <t xml:space="preserve">Alat Bermain Anak di Taman </t>
  </si>
  <si>
    <t>Tempat bermain</t>
  </si>
  <si>
    <t>Pengadaan Gazebo RTHP taman bakung</t>
  </si>
  <si>
    <t>Pertemuan Warga</t>
  </si>
  <si>
    <t xml:space="preserve">RW 8 </t>
  </si>
  <si>
    <t xml:space="preserve">Pembuatan Portal </t>
  </si>
  <si>
    <t>RW 8,10</t>
  </si>
  <si>
    <t>Perbaikan Portal</t>
  </si>
  <si>
    <t>Pemasangan instalasi Air Bersih</t>
  </si>
  <si>
    <t>Kualitas  Air</t>
  </si>
  <si>
    <t>100 m</t>
  </si>
  <si>
    <t>2 Unit</t>
  </si>
  <si>
    <t>Pembuatan Pergola</t>
  </si>
  <si>
    <t>Perindang</t>
  </si>
  <si>
    <t>10 Titik</t>
  </si>
  <si>
    <t>Perbaikan Balai RW</t>
  </si>
  <si>
    <t>Tempat Rapat/Pertemuan warga</t>
  </si>
  <si>
    <t>Infrastruktur</t>
  </si>
  <si>
    <t>85 m</t>
  </si>
  <si>
    <t>Perbaikan SAH</t>
  </si>
  <si>
    <t>Tidak banjir</t>
  </si>
  <si>
    <t>350 m</t>
  </si>
  <si>
    <t>RW  9</t>
  </si>
  <si>
    <t>1200m</t>
  </si>
  <si>
    <t>200 m</t>
  </si>
  <si>
    <t>RW 21</t>
  </si>
  <si>
    <t>Konblok Gang</t>
  </si>
  <si>
    <t>Lalu Lintas</t>
  </si>
  <si>
    <t>Pengaspalan Jalan</t>
  </si>
  <si>
    <t>800 m2</t>
  </si>
  <si>
    <t>Perbaikan aspalan Jalan</t>
  </si>
  <si>
    <t>150 m2</t>
  </si>
  <si>
    <t>Kampung Baciro</t>
  </si>
  <si>
    <t>Pelatihan</t>
  </si>
  <si>
    <t>Pelatihan Guide Tour, bahasa asing dan wisata</t>
  </si>
  <si>
    <t>Bisa menerima tamu asing</t>
  </si>
  <si>
    <t>RW</t>
  </si>
  <si>
    <t>4 RW</t>
  </si>
  <si>
    <t>Kuliner Desa yg sehat  untuk wisatawan</t>
  </si>
  <si>
    <t>Higienis makanan untuk wisatawan</t>
  </si>
  <si>
    <t>Pelatihan Bunga Kering</t>
  </si>
  <si>
    <t>Meningkatkan ekonomi warga</t>
  </si>
  <si>
    <t xml:space="preserve">RW </t>
  </si>
  <si>
    <t>DINSOS</t>
  </si>
  <si>
    <t>Hidup Sehat</t>
  </si>
  <si>
    <t>Kesehatan Lingkungan</t>
  </si>
  <si>
    <t xml:space="preserve">4 RW </t>
  </si>
  <si>
    <t>Posyandu Lansia dan Anak</t>
  </si>
  <si>
    <t>Kebersihan Lingkungan dan Peningkatan Ekonomi Kreatif</t>
  </si>
  <si>
    <t>Kampung Sayur</t>
  </si>
  <si>
    <t>Gerakkan tanam Sayur, buah, dan toga untuk kelompok sayur</t>
  </si>
  <si>
    <t>Lingkungan Bersih, Indah, dan Nilai ekonomis untuk keluarga</t>
  </si>
  <si>
    <t>RW 8, 10 dan RW 21</t>
  </si>
  <si>
    <t>3 Kelompok</t>
  </si>
  <si>
    <t>DINAS  PERTANIAN</t>
  </si>
  <si>
    <t>Pengadaan Tabulapot</t>
  </si>
  <si>
    <t>Lingk. Hijau &amp; Indah</t>
  </si>
  <si>
    <t>RW 8, 9, 10 dan 21</t>
  </si>
  <si>
    <t>300 Buah</t>
  </si>
  <si>
    <t>Belajar menanam sayur untuk anak-anak</t>
  </si>
  <si>
    <t>Cinta kepada alam</t>
  </si>
  <si>
    <t>Anak-anak</t>
  </si>
  <si>
    <t>RW10, 21</t>
  </si>
  <si>
    <t>2 Kelompok</t>
  </si>
  <si>
    <t>Pengolahan pupuk cair</t>
  </si>
  <si>
    <t>Pupuk sayur &amp; buah</t>
  </si>
  <si>
    <t>Ibu - ibu</t>
  </si>
  <si>
    <t>RW 10,21</t>
  </si>
  <si>
    <t>Pengadaan Benih dan obat</t>
  </si>
  <si>
    <t>Kualitas benih dan obat</t>
  </si>
  <si>
    <t>Kelompok Sayur</t>
  </si>
  <si>
    <t>1 Kelompok</t>
  </si>
  <si>
    <t>Pengadaan media, pupuk dan obat</t>
  </si>
  <si>
    <t>Keberlanjutan kegiatan Kelompok sayur</t>
  </si>
  <si>
    <t>Kelompok</t>
  </si>
  <si>
    <t>RW 8, 10 dan 21</t>
  </si>
  <si>
    <t>Lomba Kebersihan &amp; Lingkungan Hijau</t>
  </si>
  <si>
    <t>Semangat untuk menjaga Lingkungan</t>
  </si>
  <si>
    <t>RT</t>
  </si>
  <si>
    <t>13 RT</t>
  </si>
  <si>
    <t>Bantuan peralatan memasak ciri kuliner Desa Khas Yogyakarta</t>
  </si>
  <si>
    <t>menerima wisatawan</t>
  </si>
  <si>
    <t xml:space="preserve"> KAMPUNG BACIRO SANGGRAHAN KELURAHAN BACIRO</t>
  </si>
  <si>
    <r>
      <t xml:space="preserve">  </t>
    </r>
    <r>
      <rPr>
        <sz val="11"/>
        <color theme="1"/>
        <rFont val="Arial"/>
      </rPr>
      <t>A.   USULAN   UTAMA</t>
    </r>
  </si>
  <si>
    <t>RW 11; Jl. Mawar1 RT 39 &amp; 40</t>
  </si>
  <si>
    <t>180 m</t>
  </si>
  <si>
    <t>Saluran Air Limbah</t>
  </si>
  <si>
    <t>Penggantian Saluran Air Limbah (SAL),  SAL Lama Buntu semua.  Ǿ SAL 8" x 180 mtr. dgn 10 bak control (Ǿ 80 cm x 1,5 m dlm)</t>
  </si>
  <si>
    <t>Lingkungan sehat dan bersih</t>
  </si>
  <si>
    <t>RW. 13</t>
  </si>
  <si>
    <t xml:space="preserve"> Panjang  650 meter</t>
  </si>
  <si>
    <t>Pembuatan Saluran Air Limbah  Rumah Tangga (SAL)</t>
  </si>
  <si>
    <t>Tidak Menimbulkan Pencemaran Sumur Warga</t>
  </si>
  <si>
    <t>RW 12; Gg. Mawar V RT 45 &amp; 46</t>
  </si>
  <si>
    <t>SPAH = 5 Unit (Ǿ80x300)cm Bak t.air+grill 8 (30x50x250)</t>
  </si>
  <si>
    <t>Sumur Peresapan Air Hujan</t>
  </si>
  <si>
    <t>Buat Sumur Peresapan Air Hujan (SPAH), krn bila hujan jln.banjir 5 bh (Ǿ 80 x 300)cm + 8 bh bak tampng air &amp; Grill(30x50x250)cm</t>
  </si>
  <si>
    <t>Lingkungan sehat dan brsih</t>
  </si>
  <si>
    <t>Sumur Peresapan Air Hujan (SPAH) dengan bak kontrol Grill</t>
  </si>
  <si>
    <t>20 buah</t>
  </si>
  <si>
    <t>Bebas Genangan</t>
  </si>
  <si>
    <t>RT 48 , RT 50</t>
  </si>
  <si>
    <t>Renovasi SAH</t>
  </si>
  <si>
    <t>Akses  jalan semakin lebar</t>
  </si>
  <si>
    <t>RW 11; Jl. Mawar2 RT 39,40,41</t>
  </si>
  <si>
    <t>Gapura</t>
  </si>
  <si>
    <t>Renovasi Gapura Jl. Mawar2 (Gerbang masuk ke Kel. Baciro)</t>
  </si>
  <si>
    <t>Lingkungan indah, rapi</t>
  </si>
  <si>
    <t>RW 11; Jl. Mawar, Mawar 1~4</t>
  </si>
  <si>
    <t>4 bh CTGB+T   8 bh CTTB+T</t>
  </si>
  <si>
    <t>Cermin Tikungan Ganda Besar  (Ǿ 80 cm) dan Cermin Tikungan Tunggal Besar (Ǿ 80 cm) + Tiang.</t>
  </si>
  <si>
    <t>Keamanan Lalu Lintas</t>
  </si>
  <si>
    <t>RW 11; Jl.Mwr Tngh jl.Mwar 1~4</t>
  </si>
  <si>
    <t xml:space="preserve"> 50.000.000</t>
  </si>
  <si>
    <t xml:space="preserve">Pengadaan &amp; Pemasangan CCTV (Camera, Cable, Mdem, TV Mntr) </t>
  </si>
  <si>
    <t>Keamanan Lingkungan</t>
  </si>
  <si>
    <t>RW 12; Wilayah RT 43,44,45 &amp; 46</t>
  </si>
  <si>
    <t>Meningkatkan Keamanan Lingkungan</t>
  </si>
  <si>
    <t>Rumah di Wil RW11</t>
  </si>
  <si>
    <t>100  tiang, umpk, bndr</t>
  </si>
  <si>
    <t xml:space="preserve"> 20.000.000</t>
  </si>
  <si>
    <t>Susiati</t>
  </si>
  <si>
    <t>RT 48</t>
  </si>
  <si>
    <t>DPUPK</t>
  </si>
  <si>
    <t>Heryanto</t>
  </si>
  <si>
    <t>1  UNIT</t>
  </si>
  <si>
    <t>Perlengkapan Posyandu (Tmbangan Dacin 1 sets, Dudukan / Rangka TD uk: 1x1x2 m = 1 units, Tikar Plastic besar 2 glng, Meja 6 unit, Kursi 6 unt, APE/alat pend &amp; education 8 sets)</t>
  </si>
  <si>
    <t>Perlngkapan / Alat bantu Posyandu</t>
  </si>
  <si>
    <t>RW11</t>
  </si>
  <si>
    <t xml:space="preserve">Prlngkp JBM Ppn Peng 10 </t>
  </si>
  <si>
    <t>Pengadaan Alat Peraga Permainan Anak=anak</t>
  </si>
  <si>
    <t>Meningkatkan Ketrampilan Anak</t>
  </si>
  <si>
    <t>RT 50</t>
  </si>
  <si>
    <t>5 orang</t>
  </si>
  <si>
    <t>Pengadaan alat penghancur daun</t>
  </si>
  <si>
    <t>Mengurangi beban di TPA Piyungan dan menghasilkan pupuk organik</t>
  </si>
  <si>
    <t>Instalasi dengan Tiang dan Lampu</t>
  </si>
  <si>
    <t>Penerangan Jalan</t>
  </si>
  <si>
    <t>RT 47,48,49,50</t>
  </si>
  <si>
    <t>7 titik</t>
  </si>
  <si>
    <t>Penggantian  Conblok jl.mawar1  Vol. 160 m x 3 m =  480 m2</t>
  </si>
  <si>
    <t>Lingkungan brsih, baik</t>
  </si>
  <si>
    <t xml:space="preserve">RW 11; Jl. Mawar 1 </t>
  </si>
  <si>
    <t xml:space="preserve"> 480 m2</t>
  </si>
  <si>
    <t>Cont Blok Jalan</t>
  </si>
  <si>
    <t>Akses Jalan Makin Baik</t>
  </si>
  <si>
    <t>Pembuatan Gapura Jl. Mawar1 (Ujung Barat &amp; Ujung Timur)</t>
  </si>
  <si>
    <t>RW 11; Jl. Mawar4 RT 42</t>
  </si>
  <si>
    <t>1 Buah + Acessories</t>
  </si>
  <si>
    <t>Pembuatan Gapura Jl. Mawar4 (Sblh selatan Masjid Sonyoragi)</t>
  </si>
  <si>
    <t>Jl. Mawar3 RW 11&amp;12</t>
  </si>
  <si>
    <t>Pembuatan Gapura Jl. Mawar3 (Sblh selatan Mara Advertizing)</t>
  </si>
  <si>
    <t>RW 12; Gg. Buntu RT 45</t>
  </si>
  <si>
    <t>Pembuatan gapura</t>
  </si>
  <si>
    <t>RW 12; Gg. Mawar  V RT 45 &amp; RT 46</t>
  </si>
  <si>
    <t>Pengaspalan jalan</t>
  </si>
  <si>
    <t>RW 12; Gg. Mawar Tengah RT 43,44 &amp; 45</t>
  </si>
  <si>
    <t>Pergola</t>
  </si>
  <si>
    <t>Pergola dengan tanaman buah anggur</t>
  </si>
  <si>
    <t>Penghijauan lingkungan</t>
  </si>
  <si>
    <t>RW 13</t>
  </si>
  <si>
    <t>12  buah</t>
  </si>
  <si>
    <t>Pelatihan Membuat Makanan / Kue</t>
  </si>
  <si>
    <t>Memingkatkan Kerampilan</t>
  </si>
  <si>
    <t>Aula Kel Bcr RW11</t>
  </si>
  <si>
    <t>DEPRINDAGKOTAN</t>
  </si>
  <si>
    <t>Pelatihan  Daur Ulang  Sampah  (Warga  RW 11 Kel. Baciro)</t>
  </si>
  <si>
    <t xml:space="preserve">Pningkatan Ktrampilan </t>
  </si>
  <si>
    <t>30  Orang</t>
  </si>
  <si>
    <t>Pelatihan/Simulasi Penggunaan  APAR (Warga  RW11 Kel. Baciro)</t>
  </si>
  <si>
    <t xml:space="preserve"> 30  Orang</t>
  </si>
  <si>
    <t>Pelatihan  Budidaya  Sayur2 an  (Warga  RW 11 Kel. Baciro)</t>
  </si>
  <si>
    <t>Sosialisasi TOGA</t>
  </si>
  <si>
    <t>1 Periode</t>
  </si>
  <si>
    <t xml:space="preserve">Pelatihan Daur Ulang </t>
  </si>
  <si>
    <t>RW 12; RT 43 &amp; RT 46</t>
  </si>
  <si>
    <t>2 Tabung</t>
  </si>
  <si>
    <t>Pelatihan musik seminggu sekali selama 10 bulan</t>
  </si>
  <si>
    <t>Mengurangi penggunaan Gadget</t>
  </si>
  <si>
    <t>6 orng</t>
  </si>
  <si>
    <t>DISBUD</t>
  </si>
  <si>
    <t>Budi Daya Ikan</t>
  </si>
  <si>
    <t>Non Fisik</t>
  </si>
  <si>
    <t>Pengadaan Hydran Pemadam Kebakaran</t>
  </si>
  <si>
    <t>Pembuatan Kompos Rumah Tangga</t>
  </si>
  <si>
    <t>PMT</t>
  </si>
  <si>
    <t>Peningkatan Gizi Anak dan Balita</t>
  </si>
  <si>
    <t>Peningkatan Masa Pertumbuhan</t>
  </si>
  <si>
    <t>Peningkatan Gizi, Obat-obatan ringan, Pemeriksaan Tensi dll</t>
  </si>
  <si>
    <t>Peningkatan Kesehatan Lansia</t>
  </si>
  <si>
    <t>RW.11 RW.12 RW.13</t>
  </si>
  <si>
    <t>Perawatan rutin (BBM dan oli)</t>
  </si>
  <si>
    <t>Agar Peralatan KTB siap dipakai apabila ada bencana</t>
  </si>
  <si>
    <t>38 orang</t>
  </si>
  <si>
    <t>Pertemuan dan Peningkatan Ketrampilan 3 kali dalam setahun</t>
  </si>
  <si>
    <t>Terampil dalam penggunaan peralatan KTB</t>
  </si>
  <si>
    <t>Modifiasi Perlatan KTB (pompa air dan Viar) menjadi peralatan pemadam kebakaran</t>
  </si>
  <si>
    <t>Selalu siap apabila ada bencana kebakaran</t>
  </si>
  <si>
    <t xml:space="preserve"> 750 pot</t>
  </si>
  <si>
    <t>Tanaman buah dan sayur per rumah 10 untuk 75 rumah</t>
  </si>
  <si>
    <t>RT 50              RW 13</t>
  </si>
  <si>
    <t>Pembuatan Fasum</t>
  </si>
  <si>
    <t>600 M2</t>
  </si>
  <si>
    <t>SEKDA</t>
  </si>
  <si>
    <t>KAMPUNG GENDENG</t>
  </si>
  <si>
    <t>Antisipasi tindak keamanan</t>
  </si>
  <si>
    <t>RW 14; RT. 51</t>
  </si>
  <si>
    <t>RW 14; RT 52</t>
  </si>
  <si>
    <t>RW 14; Jl. Cantel</t>
  </si>
  <si>
    <t>RW.16</t>
  </si>
  <si>
    <t>RW 18; RT. 74</t>
  </si>
  <si>
    <t>7 unit</t>
  </si>
  <si>
    <t>RW 17; Jl Kusuma &amp; Jl Tridarma</t>
  </si>
  <si>
    <t>RW 20; RT.82,84,85</t>
  </si>
  <si>
    <t xml:space="preserve"> 4 unit</t>
  </si>
  <si>
    <t>RW 15</t>
  </si>
  <si>
    <t>RW 17</t>
  </si>
  <si>
    <t>Pengadaan panggung instruktur senam</t>
  </si>
  <si>
    <t>Kampung Gendeng</t>
  </si>
  <si>
    <t>Lapangan tenis meja</t>
  </si>
  <si>
    <t>RW 18; RT.75</t>
  </si>
  <si>
    <t>Mesin potong rumput</t>
  </si>
  <si>
    <t xml:space="preserve">Pemeliharaan lingkungan </t>
  </si>
  <si>
    <t>Rumput liar teratasi</t>
  </si>
  <si>
    <t>RW 19; RT 79</t>
  </si>
  <si>
    <t>DBGAD</t>
  </si>
  <si>
    <t>Sound system</t>
  </si>
  <si>
    <t>Diperlukan utk berbagai upacara</t>
  </si>
  <si>
    <t>RW 19; RT 80</t>
  </si>
  <si>
    <t>1 SET</t>
  </si>
  <si>
    <t>RW 20; RT.85</t>
  </si>
  <si>
    <t>Pengadaan Meja Belajar</t>
  </si>
  <si>
    <t>Kenyamanan Belajar Peserta PAUD</t>
  </si>
  <si>
    <t>Warga RW 15</t>
  </si>
  <si>
    <t>Wilayah RW 15</t>
  </si>
  <si>
    <t>20 bh</t>
  </si>
  <si>
    <t>Pembuatan SAL</t>
  </si>
  <si>
    <t>Mengurangi bakteri ecoli</t>
  </si>
  <si>
    <t>Air tidak tercemar</t>
  </si>
  <si>
    <t>Lingkungan Sehat</t>
  </si>
  <si>
    <t>RW.16; RT.64,65</t>
  </si>
  <si>
    <t>80 meter</t>
  </si>
  <si>
    <t>Mengurangi genangan</t>
  </si>
  <si>
    <t>RW 18; Gg. Delima</t>
  </si>
  <si>
    <t>7 sumur</t>
  </si>
  <si>
    <t>RW 18; Rt. 77, 78</t>
  </si>
  <si>
    <t>10 Buah</t>
  </si>
  <si>
    <t>RW 18; RT.74</t>
  </si>
  <si>
    <t>82 m</t>
  </si>
  <si>
    <t>RW 19; RT.79</t>
  </si>
  <si>
    <t>RW 19; Jl. Timoho</t>
  </si>
  <si>
    <t>RW 20; RT.82,83,84</t>
  </si>
  <si>
    <t>15 titik</t>
  </si>
  <si>
    <t>RW 20; RT.83,84,85</t>
  </si>
  <si>
    <r>
      <t>500 m</t>
    </r>
    <r>
      <rPr>
        <vertAlign val="superscript"/>
        <sz val="11"/>
        <color theme="1"/>
        <rFont val="Calibri"/>
        <family val="2"/>
        <scheme val="minor"/>
      </rPr>
      <t>2</t>
    </r>
  </si>
  <si>
    <t>Pembuatan SPAH ( sumur resapan )</t>
  </si>
  <si>
    <t>pengendalian banjir</t>
  </si>
  <si>
    <t>RT 66,67,69,71</t>
  </si>
  <si>
    <t>PJU: Penggantian Lampu menjad LED</t>
  </si>
  <si>
    <t>Peneranganjalan kampung</t>
  </si>
  <si>
    <t>28 titik</t>
  </si>
  <si>
    <t>RW 14; Gg. Pertiwi</t>
  </si>
  <si>
    <t>Penerangan jalan kampung</t>
  </si>
  <si>
    <t>RW 14; Jl. Melati Wetan</t>
  </si>
  <si>
    <t>RW 20; RT.82</t>
  </si>
  <si>
    <t>RW 17; RT 70 &amp; RT 71</t>
  </si>
  <si>
    <t>Lingkungan sehat</t>
  </si>
  <si>
    <t>RW.16; RT. 63,64</t>
  </si>
  <si>
    <t>105 meter</t>
  </si>
  <si>
    <r>
      <t>360 m</t>
    </r>
    <r>
      <rPr>
        <vertAlign val="superscript"/>
        <sz val="11"/>
        <color theme="1"/>
        <rFont val="Calibri"/>
        <family val="2"/>
        <scheme val="minor"/>
      </rPr>
      <t>2</t>
    </r>
  </si>
  <si>
    <r>
      <t>56 m</t>
    </r>
    <r>
      <rPr>
        <vertAlign val="superscript"/>
        <sz val="11"/>
        <color theme="1"/>
        <rFont val="Calibri"/>
        <family val="2"/>
        <scheme val="minor"/>
      </rPr>
      <t>2</t>
    </r>
  </si>
  <si>
    <t>RW 19; RT 81</t>
  </si>
  <si>
    <r>
      <t>160 m</t>
    </r>
    <r>
      <rPr>
        <vertAlign val="superscript"/>
        <sz val="11"/>
        <color theme="1"/>
        <rFont val="Calibri"/>
        <family val="2"/>
        <scheme val="minor"/>
      </rPr>
      <t>2</t>
    </r>
  </si>
  <si>
    <t>RW 19; Gg. Buntu</t>
  </si>
  <si>
    <r>
      <t>490 m</t>
    </r>
    <r>
      <rPr>
        <vertAlign val="superscript"/>
        <sz val="11"/>
        <color theme="1"/>
        <rFont val="Calibri"/>
        <family val="2"/>
        <scheme val="minor"/>
      </rPr>
      <t>2</t>
    </r>
  </si>
  <si>
    <t>RW 20; RT.84,85</t>
  </si>
  <si>
    <r>
      <t>400 m</t>
    </r>
    <r>
      <rPr>
        <vertAlign val="superscript"/>
        <sz val="11"/>
        <color theme="1"/>
        <rFont val="Calibri"/>
        <family val="2"/>
        <scheme val="minor"/>
      </rPr>
      <t>2</t>
    </r>
  </si>
  <si>
    <t>Perbaikan Cor Beton Jalan</t>
  </si>
  <si>
    <t>Kelancaran Pengguna Jalan</t>
  </si>
  <si>
    <t>450 m2</t>
  </si>
  <si>
    <t>RW 17; RT 66</t>
  </si>
  <si>
    <t>100m2</t>
  </si>
  <si>
    <t>Grill</t>
  </si>
  <si>
    <t>Menghindari penumpukan sampah</t>
  </si>
  <si>
    <t>Menekan penyebaran penyakit</t>
  </si>
  <si>
    <t>Cermin</t>
  </si>
  <si>
    <t>Banyak pertigaan tidak</t>
  </si>
  <si>
    <t>Petunjuk jalan</t>
  </si>
  <si>
    <t>Semua usia seluruh warga</t>
  </si>
  <si>
    <t>RW 18; Gg. Tawes,</t>
  </si>
  <si>
    <t>RW 18; RT. 77, 78</t>
  </si>
  <si>
    <t>RW 19; RT.80/81</t>
  </si>
  <si>
    <t>RW 17; RT 67,68</t>
  </si>
  <si>
    <t>Pos Ronda</t>
  </si>
  <si>
    <t>Belum ada Pos ronda</t>
  </si>
  <si>
    <t>tempat siskamling</t>
  </si>
  <si>
    <t>RW 18; Gg. Tawes</t>
  </si>
  <si>
    <t>Perbaikan Fasum RT</t>
  </si>
  <si>
    <t>Penutupan depan panggung</t>
  </si>
  <si>
    <t>Menghindari panas</t>
  </si>
  <si>
    <t>Fasum RW 18</t>
  </si>
  <si>
    <r>
      <t>200 m</t>
    </r>
    <r>
      <rPr>
        <vertAlign val="superscript"/>
        <sz val="11"/>
        <color theme="1"/>
        <rFont val="Calibri"/>
        <family val="2"/>
        <scheme val="minor"/>
      </rPr>
      <t>2</t>
    </r>
  </si>
  <si>
    <t>Perbaikan Lantai dan Atap</t>
  </si>
  <si>
    <t>RW 15; RT 60 dan RT 61</t>
  </si>
  <si>
    <t>Gorong-gorong</t>
  </si>
  <si>
    <t>RW 18; Rt. 78</t>
  </si>
  <si>
    <r>
      <t>150 m</t>
    </r>
    <r>
      <rPr>
        <vertAlign val="superscript"/>
        <sz val="11"/>
        <color theme="1"/>
        <rFont val="Calibri"/>
        <family val="2"/>
        <scheme val="minor"/>
      </rPr>
      <t>2</t>
    </r>
  </si>
  <si>
    <t xml:space="preserve">Perbaikan saluran air </t>
  </si>
  <si>
    <t>RW 19; RT.80</t>
  </si>
  <si>
    <t>Pengerukan sungai</t>
  </si>
  <si>
    <t>Menghindari banjir</t>
  </si>
  <si>
    <t>RW 20; RT.84</t>
  </si>
  <si>
    <t>600 m</t>
  </si>
  <si>
    <t>Penutupan saluran irigasi</t>
  </si>
  <si>
    <t>Perbaikan saluran pengairan belakang Kowilhan</t>
  </si>
  <si>
    <t>RW 20</t>
  </si>
  <si>
    <t>Revitasliasasi Bibir Sunggai</t>
  </si>
  <si>
    <t>RW 17; Jl Wijaya</t>
  </si>
  <si>
    <t>146m</t>
  </si>
  <si>
    <t>Perbaikan gorong-gorong</t>
  </si>
  <si>
    <t>RW 17; RT 70,71</t>
  </si>
  <si>
    <t>WIFI</t>
  </si>
  <si>
    <t>Kegiatan Baru</t>
  </si>
  <si>
    <t>Proses Pembelajaran anak</t>
  </si>
  <si>
    <t>RW 18; RT. 77</t>
  </si>
  <si>
    <t>Gudang</t>
  </si>
  <si>
    <t>Inventaris RT bisa tersimpan</t>
  </si>
  <si>
    <t>Data /arsip masyara</t>
  </si>
  <si>
    <r>
      <t>16 m</t>
    </r>
    <r>
      <rPr>
        <vertAlign val="superscript"/>
        <sz val="11"/>
        <color theme="1"/>
        <rFont val="Calibri"/>
        <family val="2"/>
        <scheme val="minor"/>
      </rPr>
      <t>2</t>
    </r>
  </si>
  <si>
    <t>Sebagai identitas kampung</t>
  </si>
  <si>
    <t>Warga kampung</t>
  </si>
  <si>
    <t>RW.16; RT. 62</t>
  </si>
  <si>
    <t>1 Buah</t>
  </si>
  <si>
    <t>Pengerukan lumpur tanah</t>
  </si>
  <si>
    <t>Kebersihan lingkungan</t>
  </si>
  <si>
    <t>90 m</t>
  </si>
  <si>
    <t>Pembuatan Portal Jalan Mojo I &amp; II</t>
  </si>
  <si>
    <t>Jl. Mojo I, II, III dan IV</t>
  </si>
  <si>
    <t>Penanda Kampung</t>
  </si>
  <si>
    <t>16 titik</t>
  </si>
  <si>
    <t>Perbaikan atap</t>
  </si>
  <si>
    <t>RW 17; RT 70 &amp; 71</t>
  </si>
  <si>
    <t>3 rumah</t>
  </si>
  <si>
    <t>UMKM</t>
  </si>
  <si>
    <t>Pemberdayaan UMKM</t>
  </si>
  <si>
    <t>Peningkatan ekonomi</t>
  </si>
  <si>
    <t>RW. 14</t>
  </si>
  <si>
    <t>30 orng 1x</t>
  </si>
  <si>
    <t>Bank Sampah</t>
  </si>
  <si>
    <t>Pengadaan Gerobak Sampah</t>
  </si>
  <si>
    <t>Rw. 14</t>
  </si>
  <si>
    <t>1 Uinit</t>
  </si>
  <si>
    <t>Pengadaan &amp; Pelatihan Komposter 
Sampah Dapur</t>
  </si>
  <si>
    <t>Nasabah Bank Sampah</t>
  </si>
  <si>
    <t>Pelatihan Pengurus Bank Sampah</t>
  </si>
  <si>
    <t>Tertib administrasi Bank Sampah</t>
  </si>
  <si>
    <t>Sesorah</t>
  </si>
  <si>
    <t>Ketrampilan warga</t>
  </si>
  <si>
    <t>Warga 200 kk</t>
  </si>
  <si>
    <t>12 kali</t>
  </si>
  <si>
    <t>DINPARBUD</t>
  </si>
  <si>
    <t>Sanggar Tari</t>
  </si>
  <si>
    <t>Meningkatkan ketrampilan</t>
  </si>
  <si>
    <t>RW. 16</t>
  </si>
  <si>
    <t>24 kali</t>
  </si>
  <si>
    <t>Bibit tanaman buah</t>
  </si>
  <si>
    <t>RW.16; RT.62-65</t>
  </si>
  <si>
    <t>24 Buah</t>
  </si>
  <si>
    <t>Tabulapot</t>
  </si>
  <si>
    <t>RW 18; RT. 73, 77</t>
  </si>
  <si>
    <t>35 buah</t>
  </si>
  <si>
    <t>300 pot</t>
  </si>
  <si>
    <t>Pembuatan Taman Tematik</t>
  </si>
  <si>
    <t>Keasrian lingkungan</t>
  </si>
  <si>
    <t>RT 61</t>
  </si>
  <si>
    <t>75 m2</t>
  </si>
  <si>
    <t>Pelatihan Budidaya Ikan &amp; Sayur dlm Ember</t>
  </si>
  <si>
    <t>Peningkatan Gizi  Keluarga</t>
  </si>
  <si>
    <t xml:space="preserve"> PKK RW 15</t>
  </si>
  <si>
    <t>25 paket</t>
  </si>
  <si>
    <t>Pembelian pot</t>
  </si>
  <si>
    <t>Ruwahan</t>
  </si>
  <si>
    <t>Kegiatan rutin tahunan</t>
  </si>
  <si>
    <t xml:space="preserve">Mempertahankan </t>
  </si>
  <si>
    <t>Karawitan</t>
  </si>
  <si>
    <t>Kegiatan baru</t>
  </si>
  <si>
    <t xml:space="preserve">Memberikan Edukasi </t>
  </si>
  <si>
    <t xml:space="preserve">Penyuluhan Hukum </t>
  </si>
  <si>
    <t>Seluruh Warga RT. 73, 77</t>
  </si>
  <si>
    <t xml:space="preserve">Menambah </t>
  </si>
  <si>
    <t>25 kali</t>
  </si>
  <si>
    <t>Pelatihan Mitigasi Bencana</t>
  </si>
  <si>
    <t>kampung gendeng</t>
  </si>
  <si>
    <t>Peningkatan Kapasitas PKK</t>
  </si>
  <si>
    <t>Refreshing Administrasi PKK RW dan PKK RT</t>
  </si>
  <si>
    <t>Tertib Administrasi</t>
  </si>
  <si>
    <t>PKK RW dan RT</t>
  </si>
  <si>
    <t>DPM PPA</t>
  </si>
  <si>
    <t>Peningkatan Layanan Lansia</t>
  </si>
  <si>
    <t>PMT Yandu Lansia</t>
  </si>
  <si>
    <t>Lansia sehat</t>
  </si>
  <si>
    <t>6 x</t>
  </si>
  <si>
    <t>Peningkatan Layanan Balita</t>
  </si>
  <si>
    <t>PMT Yandu Balita</t>
  </si>
  <si>
    <t>Balita Sehat</t>
  </si>
  <si>
    <t>12 x</t>
  </si>
  <si>
    <t>Ketrampilan Mengemudi</t>
  </si>
  <si>
    <t>Kursus Mengemudi dan Layanan SIM A</t>
  </si>
  <si>
    <t>Tertib Lalu lintas</t>
  </si>
  <si>
    <t>Samsat</t>
  </si>
  <si>
    <t xml:space="preserve"> KSSJ &amp; SHG KELURAHAN BACIRO</t>
  </si>
  <si>
    <t>Operasional Kegiatan Lembaga KSSJ &amp; SHG Baciro Tresno Jiwo</t>
  </si>
  <si>
    <t>1. Sarpras
2. Administrasi
3. Rapat Pengurus
4. Update Data</t>
  </si>
  <si>
    <t>Kel Baciro</t>
  </si>
  <si>
    <t>Sosialisasi KSSJ &amp; SHG</t>
  </si>
  <si>
    <t>Peningkatan Kapasitas</t>
  </si>
  <si>
    <t>Pengurus
Kader</t>
  </si>
  <si>
    <t>Refresh tentang Keswa</t>
  </si>
  <si>
    <t>Kader
Pendamping ODGJ</t>
  </si>
  <si>
    <t>Jalan Sehat</t>
  </si>
  <si>
    <t>Memperingati Hari Kesehatan Jiwa Dunia</t>
  </si>
  <si>
    <t>ODGJ
ODDP</t>
  </si>
  <si>
    <t xml:space="preserve"> KOMISI LANSIA KELURAHAN BACIRO</t>
  </si>
  <si>
    <t>Rapat Rutin</t>
  </si>
  <si>
    <t>30 org 6x</t>
  </si>
  <si>
    <t>Gebyar Lansia</t>
  </si>
  <si>
    <t>Fasum Baciro</t>
  </si>
  <si>
    <t>Kunjungan Lansia</t>
  </si>
  <si>
    <t>21 RW</t>
  </si>
  <si>
    <t>Penyuluhan Hukum</t>
  </si>
  <si>
    <t>Pengalihan hak atas tanah</t>
  </si>
  <si>
    <t>Seni Angklung</t>
  </si>
  <si>
    <t>Balai PWKG</t>
  </si>
  <si>
    <t xml:space="preserve"> KESI KELURAHAN BACIRO</t>
  </si>
  <si>
    <t>Sosialisasi
a. Stunting
b. Penyakit Menular
c. Penyakit tidak Menular
d. Dampak Bencana</t>
  </si>
  <si>
    <t>Posyandu
Warga</t>
  </si>
  <si>
    <t>RW
KTB</t>
  </si>
  <si>
    <t>5 kali</t>
  </si>
  <si>
    <t>Promosi
a. UKBM
b. PHBS
c. Keslingk</t>
  </si>
  <si>
    <t>3 kali</t>
  </si>
  <si>
    <t>Lomba Kebersihan</t>
  </si>
  <si>
    <t>Pembinaan RW Siaga</t>
  </si>
  <si>
    <t>6 kali</t>
  </si>
  <si>
    <t>TP PKK KELURAHAN BACIRO</t>
  </si>
  <si>
    <t>Pembinaan Administrasi SIM PKK</t>
  </si>
  <si>
    <t>Pembenahan atau  Pembinaan Adm PKK / SIM PKK</t>
  </si>
  <si>
    <t>Pengurus PKK RW</t>
  </si>
  <si>
    <t>kel Baciro</t>
  </si>
  <si>
    <t>100 orng</t>
  </si>
  <si>
    <t>Sosialisasi Solidaritas Perempuan Lintas Iman</t>
  </si>
  <si>
    <t>Meningkatkan toleransi antar umat beragama</t>
  </si>
  <si>
    <t>Pengurus TP PKK &amp; PKK RW</t>
  </si>
  <si>
    <t>50 orng</t>
  </si>
  <si>
    <t>Sosialisasi NAPZA</t>
  </si>
  <si>
    <t>Disiplin Positif  Mengasuh Anak  (PAREDI)</t>
  </si>
  <si>
    <t>PKK RW</t>
  </si>
  <si>
    <t>Workshop Aplikasi Ecoprint</t>
  </si>
  <si>
    <t>34 orng</t>
  </si>
  <si>
    <t>DISPERINDAGKOM</t>
  </si>
  <si>
    <t>Rapat UP2K</t>
  </si>
  <si>
    <t>UP2K</t>
  </si>
  <si>
    <t>20 orng</t>
  </si>
  <si>
    <t>Sosialisasi Gemari Makan Lele Berbasis Sumber Daya Lokal</t>
  </si>
  <si>
    <t>Monitoring pemanfaatan  tanah Pekarangan unt mendukung Hatinya PKK</t>
  </si>
  <si>
    <t>Menumbuhkan  kesadaran Hatinya PKK</t>
  </si>
  <si>
    <t>Monitoring POSYANDU</t>
  </si>
  <si>
    <t>Kader Yandu</t>
  </si>
  <si>
    <t>35 orng</t>
  </si>
  <si>
    <t>Penyuluhan Kader  Posyandu ttng ASI  Eksklusif</t>
  </si>
  <si>
    <t>Penyuluhan Kader Bumil</t>
  </si>
  <si>
    <t>Pemantauan Bumil</t>
  </si>
  <si>
    <t>HKG,PKK,KB KES</t>
  </si>
  <si>
    <t>Stunting</t>
  </si>
  <si>
    <t>Penyakit Tidak Menular</t>
  </si>
  <si>
    <t>mengurangi resiko penyakit tidak menular</t>
  </si>
  <si>
    <t>kel Bairo</t>
  </si>
  <si>
    <t>BANK SAMPAH KELURAHAN BACIRO</t>
  </si>
  <si>
    <t>Workshop pengurangan sampah anorganik</t>
  </si>
  <si>
    <t>memberi contoh cara pengelolaan  sampah anorganik</t>
  </si>
  <si>
    <t>45 orng</t>
  </si>
  <si>
    <t>Pembinaan Administrasi</t>
  </si>
  <si>
    <t>pembenahan dan menyamakan administrasi</t>
  </si>
  <si>
    <t>Ketua  BS Baciro</t>
  </si>
  <si>
    <t>21 orng</t>
  </si>
  <si>
    <t>PAUD KELURAHAN BACIRO</t>
  </si>
  <si>
    <t xml:space="preserve">Peningkatan Kapasitas </t>
  </si>
  <si>
    <t>Pembinaan pendidik</t>
  </si>
  <si>
    <t>SPS, TPA,KB, TB</t>
  </si>
  <si>
    <t>Penyuluhan Kesehatan  Reproduksi Anak2 PAUD</t>
  </si>
  <si>
    <t>Meningkatkan pengetahuan ortu tentang kesehatan  reproduksi pada ank</t>
  </si>
  <si>
    <t>Wali PAUD</t>
  </si>
  <si>
    <t>Workshop APE ( Alat Pendidikan Edukatif )</t>
  </si>
  <si>
    <t>Meningkatkan  pengetahuan penddk dlm membuat APE</t>
  </si>
  <si>
    <t>DISDIK</t>
  </si>
  <si>
    <t>PMT Anak2 PAUD</t>
  </si>
  <si>
    <t>Membantu pemenuhan Gizi ank2 PAUD</t>
  </si>
  <si>
    <t>300 ank</t>
  </si>
  <si>
    <t xml:space="preserve">Pertemuan Rutin </t>
  </si>
  <si>
    <t>Rapat pengurus</t>
  </si>
  <si>
    <t>Pengurus Pokja Bunda PAUD</t>
  </si>
  <si>
    <t>Laptop</t>
  </si>
  <si>
    <t>Printer</t>
  </si>
  <si>
    <t xml:space="preserve"> IPSM KELURAHAN BACIRO</t>
  </si>
  <si>
    <t>Sosialisasi PSM</t>
  </si>
  <si>
    <t>Lebih mengenalkan PSM ke masyarakat</t>
  </si>
  <si>
    <t>Ketua RW
Anggota PSM
LPMK
Kelurahan</t>
  </si>
  <si>
    <t>Penguatan Kelembagaan</t>
  </si>
  <si>
    <t>Anggota PSM
LPMK
Kelurahan</t>
  </si>
  <si>
    <t>DBKS KELURAHAN BACIRO</t>
  </si>
  <si>
    <t>Bakti Sosial</t>
  </si>
  <si>
    <t>Meringankan beban ekonomi warga</t>
  </si>
  <si>
    <t>Warga Baciro</t>
  </si>
  <si>
    <t>Masjid Sonyoragi</t>
  </si>
  <si>
    <t>Dinsos</t>
  </si>
  <si>
    <t>Wisata Rohanni</t>
  </si>
  <si>
    <t>Meningkatkan keimanan &amp; ketaqwaan</t>
  </si>
  <si>
    <t>Pengurus
Anggota</t>
  </si>
  <si>
    <t>Pelatihan Perawatan Jenazah</t>
  </si>
  <si>
    <t>Pemahaman perawatan jenazah</t>
  </si>
  <si>
    <t xml:space="preserve"> FKDM KELURAHAN BACIRO</t>
  </si>
  <si>
    <t>Sosialisasi kewaspadaan dini masyarakat</t>
  </si>
  <si>
    <t>masyarakat mengetahui ketugasan FKDM</t>
  </si>
  <si>
    <t>masyarakat mengetahui cara menanam sayur yang baik dan benar</t>
  </si>
  <si>
    <t>kampung</t>
  </si>
  <si>
    <t xml:space="preserve"> KARANG TARUNA KELURAHAN BACIRO</t>
  </si>
  <si>
    <t>Manajemen organisasi</t>
  </si>
  <si>
    <t>penataan organisasi</t>
  </si>
  <si>
    <t>memahami organisasi</t>
  </si>
  <si>
    <t>kaarang taruna</t>
  </si>
  <si>
    <t>50 orng 2x</t>
  </si>
  <si>
    <t>Lomba futsal</t>
  </si>
  <si>
    <t>mengadakan lomba foodsal</t>
  </si>
  <si>
    <t>keakrapan anggota karang taruna</t>
  </si>
  <si>
    <t>DISTRANTIB</t>
  </si>
  <si>
    <t>pelatihan pembuatan sabun</t>
  </si>
  <si>
    <t>bisa membuat sabun</t>
  </si>
  <si>
    <t>Ppengadaan Senter</t>
  </si>
  <si>
    <t>lomba dolanan tradisional</t>
  </si>
  <si>
    <t>melestarikan permainan tradisional</t>
  </si>
  <si>
    <t>Lomba E-Sport</t>
  </si>
  <si>
    <t>budi daya lele cendol</t>
  </si>
  <si>
    <t>Pelatihan dan pengadaan bibit</t>
  </si>
  <si>
    <t>latihan berwira usaha</t>
  </si>
  <si>
    <t>sragam karang taruna</t>
  </si>
  <si>
    <t>identitas kartar</t>
  </si>
  <si>
    <t>mudah dikenal</t>
  </si>
  <si>
    <t xml:space="preserve"> LINMAS KELURAHAN BACIRO</t>
  </si>
  <si>
    <t>Pelatihan Linmas</t>
  </si>
  <si>
    <t>Ketrampilan anggota linmas</t>
  </si>
  <si>
    <t>tangka menangani masalah</t>
  </si>
  <si>
    <t>anggota linmas</t>
  </si>
  <si>
    <t>70 orang x4</t>
  </si>
  <si>
    <t>pengadaan rompi</t>
  </si>
  <si>
    <t>sebagai identitas lembaga</t>
  </si>
  <si>
    <t>sarana informasi</t>
  </si>
  <si>
    <t>mempercepat komunikasi</t>
  </si>
  <si>
    <t>Pengadaan Senter</t>
  </si>
  <si>
    <t>sarana penerangan</t>
  </si>
  <si>
    <t>mempermudah tugas</t>
  </si>
  <si>
    <t>FKUB KELURAHAN BACIRO</t>
  </si>
  <si>
    <t>Sarasean</t>
  </si>
  <si>
    <t>Pembinaan</t>
  </si>
  <si>
    <t>Kerukunan antar umat beragam</t>
  </si>
  <si>
    <t>40 orang 2x</t>
  </si>
  <si>
    <t>LPMK KELURAHAN BACIRO</t>
  </si>
  <si>
    <t>Sinergitas kelembagaan</t>
  </si>
  <si>
    <t>LPMK,Kampung,RW,Lembaga lain</t>
  </si>
  <si>
    <t>Meningkatan sinergitas</t>
  </si>
  <si>
    <t>60 orangx4</t>
  </si>
  <si>
    <t>KADARKUM</t>
  </si>
  <si>
    <t>menngkatkan kesadaran hukum</t>
  </si>
  <si>
    <t>Sadar hukum</t>
  </si>
  <si>
    <t xml:space="preserve"> KELURAHAN BACIRO</t>
  </si>
  <si>
    <t>Rapat Kampung</t>
  </si>
  <si>
    <t>25 org 6x</t>
  </si>
  <si>
    <t>Rapat LPMK</t>
  </si>
  <si>
    <t>25 org 10x</t>
  </si>
  <si>
    <t>Rapat RT</t>
  </si>
  <si>
    <t>20 org 87 x5</t>
  </si>
  <si>
    <t>Rapat RW</t>
  </si>
  <si>
    <t>25 org x21x3</t>
  </si>
  <si>
    <t>Rapat rutin kesi</t>
  </si>
  <si>
    <t>30 org x6</t>
  </si>
  <si>
    <t>Belanja internet untuk RW dan RT</t>
  </si>
  <si>
    <t>Rapat rutin Komlan</t>
  </si>
  <si>
    <t>Rapat Kader Gisa</t>
  </si>
  <si>
    <t>17 org x10</t>
  </si>
  <si>
    <t>Rapat PKK kelurahan</t>
  </si>
  <si>
    <t>30 org 21 RW x10</t>
  </si>
  <si>
    <t xml:space="preserve">Rapat PKK RW </t>
  </si>
  <si>
    <t>30 org 21 RW x2</t>
  </si>
  <si>
    <t xml:space="preserve">Rapat PKK RT </t>
  </si>
  <si>
    <t>20 org 87 x2</t>
  </si>
  <si>
    <t>Rapat Dawis</t>
  </si>
  <si>
    <t>10 org x163 x1</t>
  </si>
  <si>
    <t>Rapat Paguyban Bang Sampah</t>
  </si>
  <si>
    <t>25 org  x4</t>
  </si>
  <si>
    <t>Rakor DBKS</t>
  </si>
  <si>
    <t>30 org x2</t>
  </si>
  <si>
    <t>Rapat JBM</t>
  </si>
  <si>
    <t>25 org  21 RW 2x</t>
  </si>
  <si>
    <t xml:space="preserve">Rakor Fprum Anak </t>
  </si>
  <si>
    <t>20 org 4x</t>
  </si>
  <si>
    <t>150 titik</t>
  </si>
  <si>
    <t>Jasa tenaga Teknis mekanik dan listrik</t>
  </si>
  <si>
    <t>Jasa Fasilitator Kelurahan</t>
  </si>
  <si>
    <t>1 org</t>
  </si>
  <si>
    <t xml:space="preserve">Pengadaan aset yang menjadi milik wilayah- kendaraan dinas roda 2 kemantren </t>
  </si>
  <si>
    <t>Meningkatkat mobilitas karyawan dalam menjalankan tugas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</si>
</sst>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_);_(* \(#,##0\);_(* &quot;-&quot;_);_(@_)"/>
    <numFmt numFmtId="165" formatCode="_(* #,##0.00_);_(* \(#,##0.00\);_(* &quot;-&quot;??_);_(@_)"/>
    <numFmt numFmtId="166" formatCode="_-[$Rp-421]* #,##0.00_-;\-[$Rp-421]* #,##0.00_-;_-[$Rp-421]* &quot;-&quot;??_-;_-@_-"/>
    <numFmt numFmtId="167" formatCode="_(* #,##0_);_(* \(#,##0\);_(* &quot;-&quot;??_);_(@_)"/>
    <numFmt numFmtId="168" formatCode="_-* #,##0_-;\-* #,##0_-;_-* &quot;-&quot;_-;_-@"/>
    <numFmt numFmtId="169" formatCode="_-* #,##0_-;\-* #,##0_-;_-* &quot;-&quot;??_-;_-@_-"/>
    <numFmt numFmtId="170" formatCode="_-* #,##0_-;\-* #,##0_-;_-* &quot;-&quot;??_-;_-@"/>
    <numFmt numFmtId="171" formatCode="_(* #,##0.0_);_(* \(#,##0.0\);_(* &quot;-&quot;??_);_(@_)"/>
  </numFmts>
  <fonts count="75"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1"/>
      <name val="Calibri"/>
    </font>
    <font>
      <sz val="11"/>
      <color theme="1"/>
      <name val="Calibri"/>
    </font>
    <font>
      <b/>
      <sz val="14"/>
      <color theme="1"/>
      <name val="Calibri"/>
    </font>
    <font>
      <b/>
      <sz val="11"/>
      <color theme="1"/>
      <name val="Calibri"/>
    </font>
    <font>
      <b/>
      <sz val="8"/>
      <color theme="1"/>
      <name val="Calibri"/>
    </font>
    <font>
      <sz val="11"/>
      <name val="Arial"/>
    </font>
    <font>
      <i/>
      <sz val="9"/>
      <color theme="1"/>
      <name val="Calibri"/>
    </font>
    <font>
      <b/>
      <sz val="11"/>
      <color rgb="FF000000"/>
      <name val="Calibri"/>
    </font>
    <font>
      <sz val="11"/>
      <color rgb="FF000000"/>
      <name val="Calibri"/>
    </font>
    <font>
      <i/>
      <sz val="11"/>
      <color theme="1"/>
      <name val="Calibri"/>
    </font>
    <font>
      <i/>
      <sz val="8"/>
      <color theme="1"/>
      <name val="Calibri"/>
    </font>
    <font>
      <sz val="9"/>
      <color theme="1"/>
      <name val="Calibri"/>
    </font>
    <font>
      <sz val="11"/>
      <color theme="1"/>
      <name val="Arial"/>
    </font>
    <font>
      <b/>
      <sz val="11"/>
      <color theme="1"/>
      <name val="Calibri"/>
      <family val="2"/>
      <scheme val="minor"/>
    </font>
    <font>
      <sz val="11"/>
      <color theme="1"/>
      <name val="Arial"/>
      <family val="2"/>
    </font>
    <font>
      <sz val="11"/>
      <color theme="1"/>
      <name val="Calibri"/>
      <family val="2"/>
    </font>
    <font>
      <sz val="11"/>
      <color rgb="FF000000"/>
      <name val="Calibri"/>
      <family val="2"/>
    </font>
    <font>
      <sz val="11"/>
      <color rgb="FF000000"/>
      <name val="Calibri"/>
      <family val="2"/>
      <scheme val="minor"/>
    </font>
    <font>
      <sz val="11"/>
      <color rgb="FF000000"/>
      <name val="Wingdings 2"/>
      <family val="1"/>
      <charset val="2"/>
    </font>
    <font>
      <b/>
      <sz val="11"/>
      <color theme="1"/>
      <name val="Calibri"/>
      <family val="2"/>
    </font>
    <font>
      <sz val="11"/>
      <name val="Calibri"/>
      <family val="2"/>
    </font>
    <font>
      <sz val="11"/>
      <name val="Calibri"/>
      <family val="2"/>
      <scheme val="minor"/>
    </font>
    <font>
      <sz val="9"/>
      <color indexed="81"/>
      <name val="Tahoma"/>
      <family val="2"/>
    </font>
    <font>
      <b/>
      <sz val="9"/>
      <color indexed="81"/>
      <name val="Tahoma"/>
      <family val="2"/>
    </font>
    <font>
      <b/>
      <sz val="11"/>
      <color rgb="FF000000"/>
      <name val="Calibri"/>
      <family val="2"/>
    </font>
    <font>
      <sz val="11"/>
      <name val="Arial"/>
      <family val="2"/>
    </font>
    <font>
      <u/>
      <sz val="11"/>
      <color theme="10"/>
      <name val="Calibri"/>
      <family val="2"/>
      <charset val="1"/>
      <scheme val="minor"/>
    </font>
    <font>
      <b/>
      <sz val="8"/>
      <color theme="1"/>
      <name val="Calibri"/>
      <family val="2"/>
    </font>
    <font>
      <i/>
      <sz val="8"/>
      <color theme="1"/>
      <name val="Calibri"/>
      <family val="2"/>
    </font>
    <font>
      <i/>
      <sz val="11"/>
      <color theme="1"/>
      <name val="Calibri"/>
      <family val="2"/>
    </font>
    <font>
      <i/>
      <sz val="9"/>
      <color theme="1"/>
      <name val="Calibri"/>
      <family val="2"/>
    </font>
    <font>
      <sz val="9"/>
      <color theme="1"/>
      <name val="Calibri"/>
      <family val="2"/>
    </font>
    <font>
      <sz val="12"/>
      <color theme="1"/>
      <name val="Calibri"/>
      <family val="2"/>
      <scheme val="minor"/>
    </font>
    <font>
      <sz val="12"/>
      <name val="Arial"/>
      <family val="2"/>
    </font>
    <font>
      <sz val="11"/>
      <color theme="1"/>
      <name val="Calibri"/>
      <family val="2"/>
      <charset val="1"/>
      <scheme val="minor"/>
    </font>
    <font>
      <sz val="12"/>
      <color rgb="FF000000"/>
      <name val="Calibri"/>
      <family val="2"/>
      <scheme val="minor"/>
    </font>
    <font>
      <b/>
      <sz val="11"/>
      <color rgb="FF000000"/>
      <name val="Calibri"/>
      <family val="2"/>
      <scheme val="minor"/>
    </font>
    <font>
      <b/>
      <sz val="11"/>
      <name val="Calibri"/>
      <family val="2"/>
      <scheme val="minor"/>
    </font>
    <font>
      <b/>
      <sz val="14"/>
      <color rgb="FF000000"/>
      <name val="Calibri"/>
      <family val="2"/>
    </font>
    <font>
      <sz val="14"/>
      <name val="Arial"/>
      <family val="2"/>
    </font>
    <font>
      <i/>
      <sz val="11"/>
      <name val="Calibri"/>
      <family val="2"/>
    </font>
    <font>
      <i/>
      <sz val="11"/>
      <color rgb="FF7F7F7F"/>
      <name val="Calibri"/>
      <family val="2"/>
    </font>
    <font>
      <sz val="11"/>
      <color rgb="FF7F7F7F"/>
      <name val="Calibri"/>
      <family val="2"/>
    </font>
    <font>
      <sz val="11"/>
      <color rgb="FFFF0000"/>
      <name val="Calibri"/>
      <family val="2"/>
    </font>
    <font>
      <sz val="12"/>
      <color theme="1"/>
      <name val="Arial Narrow"/>
      <family val="2"/>
    </font>
    <font>
      <sz val="10"/>
      <color theme="1"/>
      <name val="Calibri"/>
      <family val="2"/>
      <scheme val="minor"/>
    </font>
    <font>
      <u/>
      <sz val="12"/>
      <color theme="1"/>
      <name val="Calibri"/>
      <family val="2"/>
      <scheme val="minor"/>
    </font>
    <font>
      <b/>
      <sz val="16"/>
      <color theme="1"/>
      <name val="Calibri"/>
      <family val="2"/>
      <scheme val="major"/>
    </font>
    <font>
      <b/>
      <sz val="12"/>
      <color theme="1"/>
      <name val="Calibri"/>
      <family val="2"/>
      <scheme val="minor"/>
    </font>
    <font>
      <sz val="10"/>
      <color theme="1"/>
      <name val="Arial Narrow"/>
      <family val="2"/>
    </font>
    <font>
      <b/>
      <i/>
      <sz val="10"/>
      <color theme="1"/>
      <name val="Arial Narrow"/>
      <family val="2"/>
    </font>
    <font>
      <b/>
      <sz val="14"/>
      <color theme="1"/>
      <name val="Arial Narrow"/>
      <family val="2"/>
    </font>
    <font>
      <sz val="11"/>
      <color theme="1"/>
      <name val="Arial Narrow"/>
      <family val="2"/>
    </font>
    <font>
      <sz val="12"/>
      <name val="Arial Narrow"/>
      <family val="2"/>
    </font>
    <font>
      <sz val="12"/>
      <color rgb="FFFF0000"/>
      <name val="Arial Narrow"/>
      <family val="2"/>
    </font>
    <font>
      <b/>
      <sz val="12"/>
      <color theme="1"/>
      <name val="Arial Narrow"/>
      <family val="2"/>
    </font>
    <font>
      <sz val="12"/>
      <color theme="1"/>
      <name val="Calibri"/>
      <family val="2"/>
    </font>
    <font>
      <b/>
      <i/>
      <sz val="12"/>
      <color theme="1"/>
      <name val="Arial Narrow"/>
      <family val="2"/>
    </font>
    <font>
      <b/>
      <sz val="12"/>
      <name val="Arial Narrow"/>
      <family val="2"/>
    </font>
    <font>
      <b/>
      <u/>
      <sz val="12"/>
      <color theme="1"/>
      <name val="Arial Narrow"/>
      <family val="2"/>
    </font>
    <font>
      <u/>
      <sz val="12"/>
      <color theme="1"/>
      <name val="Arial Narrow"/>
      <family val="2"/>
    </font>
    <font>
      <b/>
      <sz val="16"/>
      <color theme="1"/>
      <name val="Calibri"/>
      <family val="2"/>
      <scheme val="minor"/>
    </font>
    <font>
      <b/>
      <sz val="8"/>
      <color theme="1"/>
      <name val="Calibri"/>
      <family val="2"/>
      <scheme val="minor"/>
    </font>
    <font>
      <sz val="14"/>
      <color theme="1"/>
      <name val="Calibri"/>
      <family val="2"/>
      <scheme val="minor"/>
    </font>
    <font>
      <sz val="10"/>
      <name val="Arial"/>
      <charset val="1"/>
    </font>
    <font>
      <sz val="9"/>
      <name val="Arial"/>
      <family val="2"/>
    </font>
    <font>
      <vertAlign val="superscript"/>
      <sz val="11"/>
      <color theme="1"/>
      <name val="Calibri"/>
      <family val="2"/>
      <scheme val="minor"/>
    </font>
    <font>
      <b/>
      <sz val="9"/>
      <color theme="1"/>
      <name val="Calibri"/>
      <family val="2"/>
      <scheme val="minor"/>
    </font>
    <font>
      <sz val="8"/>
      <name val="Calibri"/>
      <family val="2"/>
      <scheme val="minor"/>
    </font>
    <font>
      <sz val="10"/>
      <name val="Arial"/>
      <family val="2"/>
    </font>
  </fonts>
  <fills count="1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F00"/>
      </patternFill>
    </fill>
    <fill>
      <patternFill patternType="solid">
        <fgColor theme="0"/>
        <bgColor rgb="FF92D050"/>
      </patternFill>
    </fill>
    <fill>
      <patternFill patternType="solid">
        <fgColor theme="0"/>
        <bgColor theme="9"/>
      </patternFill>
    </fill>
    <fill>
      <patternFill patternType="solid">
        <fgColor theme="7"/>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s>
  <borders count="3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style="thin">
        <color indexed="64"/>
      </bottom>
      <diagonal/>
    </border>
    <border>
      <left style="thin">
        <color rgb="FF000000"/>
      </left>
      <right/>
      <top/>
      <bottom/>
      <diagonal/>
    </border>
    <border>
      <left style="thin">
        <color rgb="FF000000"/>
      </left>
      <right style="thin">
        <color indexed="64"/>
      </right>
      <top style="thin">
        <color indexed="64"/>
      </top>
      <bottom style="thin">
        <color rgb="FF000000"/>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diagonal/>
    </border>
    <border>
      <left/>
      <right/>
      <top/>
      <bottom style="thin">
        <color indexed="64"/>
      </bottom>
      <diagonal/>
    </border>
    <border>
      <left/>
      <right/>
      <top style="thin">
        <color indexed="64"/>
      </top>
      <bottom/>
      <diagonal/>
    </border>
    <border>
      <left style="medium">
        <color indexed="64"/>
      </left>
      <right/>
      <top/>
      <bottom/>
      <diagonal/>
    </border>
  </borders>
  <cellStyleXfs count="26">
    <xf numFmtId="0" fontId="0" fillId="0" borderId="0"/>
    <xf numFmtId="165" fontId="17" fillId="0" borderId="0" applyFont="0" applyFill="0" applyBorder="0" applyAlignment="0" applyProtection="0"/>
    <xf numFmtId="164" fontId="17" fillId="0" borderId="0" applyFont="0" applyFill="0" applyBorder="0" applyAlignment="0" applyProtection="0"/>
    <xf numFmtId="0" fontId="19" fillId="0" borderId="8"/>
    <xf numFmtId="0" fontId="31" fillId="0" borderId="8" applyNumberFormat="0" applyFill="0" applyBorder="0" applyAlignment="0" applyProtection="0"/>
    <xf numFmtId="0" fontId="4" fillId="0" borderId="8"/>
    <xf numFmtId="165" fontId="4" fillId="0" borderId="8" applyFont="0" applyFill="0" applyBorder="0" applyAlignment="0" applyProtection="0"/>
    <xf numFmtId="41" fontId="4" fillId="0" borderId="8" applyFont="0" applyFill="0" applyBorder="0" applyAlignment="0" applyProtection="0"/>
    <xf numFmtId="0" fontId="19" fillId="0" borderId="8"/>
    <xf numFmtId="0" fontId="39" fillId="0" borderId="8"/>
    <xf numFmtId="164" fontId="39" fillId="0" borderId="8" applyFont="0" applyFill="0" applyBorder="0" applyAlignment="0" applyProtection="0"/>
    <xf numFmtId="0" fontId="4" fillId="0" borderId="8"/>
    <xf numFmtId="0" fontId="3" fillId="0" borderId="8"/>
    <xf numFmtId="41" fontId="3" fillId="0" borderId="8" applyFont="0" applyFill="0" applyBorder="0" applyAlignment="0" applyProtection="0"/>
    <xf numFmtId="165" fontId="3" fillId="0" borderId="8" applyFont="0" applyFill="0" applyBorder="0" applyAlignment="0" applyProtection="0"/>
    <xf numFmtId="0" fontId="2" fillId="0" borderId="8"/>
    <xf numFmtId="0" fontId="20" fillId="0" borderId="8"/>
    <xf numFmtId="0" fontId="2" fillId="0" borderId="8">
      <alignment vertical="center"/>
    </xf>
    <xf numFmtId="0" fontId="69" fillId="0" borderId="8"/>
    <xf numFmtId="165" fontId="69" fillId="0" borderId="8" applyFont="0" applyFill="0" applyBorder="0" applyAlignment="0" applyProtection="0"/>
    <xf numFmtId="165" fontId="2" fillId="0" borderId="8" applyFont="0" applyFill="0" applyBorder="0" applyAlignment="0" applyProtection="0"/>
    <xf numFmtId="164" fontId="2" fillId="0" borderId="8" applyFont="0" applyFill="0" applyBorder="0" applyAlignment="0" applyProtection="0"/>
    <xf numFmtId="165" fontId="69" fillId="0" borderId="8" applyFont="0" applyFill="0" applyBorder="0" applyAlignment="0" applyProtection="0"/>
    <xf numFmtId="0" fontId="39" fillId="0" borderId="8"/>
    <xf numFmtId="41" fontId="2" fillId="0" borderId="8" applyFont="0" applyFill="0" applyBorder="0" applyAlignment="0" applyProtection="0"/>
    <xf numFmtId="165" fontId="74" fillId="0" borderId="8" applyFont="0" applyFill="0" applyBorder="0" applyAlignment="0" applyProtection="0"/>
  </cellStyleXfs>
  <cellXfs count="962">
    <xf numFmtId="0" fontId="0" fillId="0" borderId="0" xfId="0" applyFont="1" applyAlignment="1"/>
    <xf numFmtId="0" fontId="0" fillId="2" borderId="0" xfId="0" applyFill="1" applyAlignment="1">
      <alignment horizontal="left" vertical="top"/>
    </xf>
    <xf numFmtId="0" fontId="0" fillId="2" borderId="9" xfId="0" applyFill="1" applyBorder="1" applyAlignment="1">
      <alignment horizontal="left" vertical="top" wrapText="1"/>
    </xf>
    <xf numFmtId="0" fontId="21" fillId="2" borderId="9" xfId="0" applyFont="1" applyFill="1" applyBorder="1" applyAlignment="1">
      <alignment horizontal="left" vertical="top" wrapText="1"/>
    </xf>
    <xf numFmtId="0" fontId="21" fillId="2" borderId="7" xfId="0" applyFont="1" applyFill="1" applyBorder="1" applyAlignment="1">
      <alignment horizontal="left" vertical="top" wrapText="1"/>
    </xf>
    <xf numFmtId="22" fontId="0" fillId="2" borderId="7" xfId="0" applyNumberFormat="1" applyFill="1" applyBorder="1" applyAlignment="1">
      <alignment horizontal="left" vertical="top"/>
    </xf>
    <xf numFmtId="20" fontId="19" fillId="2" borderId="7" xfId="0" applyNumberFormat="1" applyFont="1" applyFill="1" applyBorder="1" applyAlignment="1">
      <alignment horizontal="left" vertical="top"/>
    </xf>
    <xf numFmtId="3" fontId="21" fillId="2" borderId="7" xfId="0" applyNumberFormat="1" applyFont="1" applyFill="1" applyBorder="1" applyAlignment="1">
      <alignment horizontal="center" vertical="top" wrapText="1"/>
    </xf>
    <xf numFmtId="0" fontId="4" fillId="2" borderId="7" xfId="0" quotePrefix="1" applyFont="1" applyFill="1" applyBorder="1" applyAlignment="1">
      <alignment horizontal="left" vertical="top" wrapText="1"/>
    </xf>
    <xf numFmtId="0" fontId="4" fillId="2" borderId="7" xfId="0" quotePrefix="1" applyFont="1" applyFill="1" applyBorder="1" applyAlignment="1">
      <alignment vertical="top" wrapText="1"/>
    </xf>
    <xf numFmtId="0" fontId="4" fillId="2" borderId="7" xfId="0" quotePrefix="1" applyFont="1" applyFill="1" applyBorder="1" applyAlignment="1">
      <alignment horizontal="center" vertical="top" wrapText="1"/>
    </xf>
    <xf numFmtId="0" fontId="4" fillId="2" borderId="14" xfId="0" quotePrefix="1" applyFont="1" applyFill="1" applyBorder="1" applyAlignment="1">
      <alignment horizontal="left" vertical="top" wrapText="1" indent="1"/>
    </xf>
    <xf numFmtId="0" fontId="4" fillId="2" borderId="9" xfId="0" applyFont="1" applyFill="1" applyBorder="1" applyAlignment="1">
      <alignment horizontal="left" vertical="top" wrapText="1" indent="1"/>
    </xf>
    <xf numFmtId="0" fontId="4" fillId="2" borderId="9" xfId="0" quotePrefix="1" applyFont="1" applyFill="1" applyBorder="1" applyAlignment="1">
      <alignment horizontal="center" vertical="top" wrapText="1"/>
    </xf>
    <xf numFmtId="3" fontId="4" fillId="2" borderId="9" xfId="1" quotePrefix="1" applyNumberFormat="1" applyFont="1" applyFill="1" applyBorder="1" applyAlignment="1">
      <alignment horizontal="center" vertical="top" wrapText="1"/>
    </xf>
    <xf numFmtId="3" fontId="4" fillId="2" borderId="9" xfId="1" quotePrefix="1" applyNumberFormat="1" applyFont="1" applyFill="1" applyBorder="1" applyAlignment="1">
      <alignment horizontal="right" vertical="top" wrapText="1"/>
    </xf>
    <xf numFmtId="167" fontId="4" fillId="2" borderId="11" xfId="1" quotePrefix="1" applyNumberFormat="1" applyFont="1" applyFill="1" applyBorder="1" applyAlignment="1">
      <alignment horizontal="center" vertical="top" wrapText="1"/>
    </xf>
    <xf numFmtId="167" fontId="4" fillId="2" borderId="9" xfId="1" quotePrefix="1" applyNumberFormat="1" applyFont="1" applyFill="1" applyBorder="1" applyAlignment="1">
      <alignment vertical="top" wrapText="1"/>
    </xf>
    <xf numFmtId="0" fontId="19" fillId="2" borderId="0" xfId="0" applyFont="1" applyFill="1"/>
    <xf numFmtId="0" fontId="20" fillId="2" borderId="7" xfId="0" quotePrefix="1" applyFont="1" applyFill="1" applyBorder="1" applyAlignment="1">
      <alignment horizontal="left" vertical="top" wrapText="1" indent="1"/>
    </xf>
    <xf numFmtId="0" fontId="4" fillId="2" borderId="9" xfId="0" quotePrefix="1" applyFont="1" applyFill="1" applyBorder="1" applyAlignment="1">
      <alignment horizontal="left" vertical="top" wrapText="1"/>
    </xf>
    <xf numFmtId="0" fontId="4" fillId="2" borderId="9" xfId="0" quotePrefix="1" applyFont="1" applyFill="1" applyBorder="1" applyAlignment="1">
      <alignment vertical="top" wrapText="1"/>
    </xf>
    <xf numFmtId="0" fontId="4" fillId="2" borderId="9" xfId="0" quotePrefix="1" applyFont="1" applyFill="1" applyBorder="1" applyAlignment="1">
      <alignment horizontal="left" vertical="top" wrapText="1" indent="1"/>
    </xf>
    <xf numFmtId="0" fontId="4" fillId="2" borderId="11" xfId="0" quotePrefix="1" applyFont="1" applyFill="1" applyBorder="1" applyAlignment="1">
      <alignment horizontal="center" vertical="top" wrapText="1"/>
    </xf>
    <xf numFmtId="167" fontId="4" fillId="2" borderId="9" xfId="1" quotePrefix="1" applyNumberFormat="1" applyFont="1" applyFill="1" applyBorder="1" applyAlignment="1">
      <alignment horizontal="center" vertical="top" wrapText="1"/>
    </xf>
    <xf numFmtId="167" fontId="4" fillId="2" borderId="9" xfId="0" quotePrefix="1" applyNumberFormat="1" applyFont="1" applyFill="1" applyBorder="1" applyAlignment="1">
      <alignment vertical="top" wrapText="1"/>
    </xf>
    <xf numFmtId="20" fontId="4" fillId="2" borderId="9" xfId="0" quotePrefix="1" applyNumberFormat="1" applyFont="1" applyFill="1" applyBorder="1" applyAlignment="1">
      <alignment horizontal="left" vertical="top" wrapText="1"/>
    </xf>
    <xf numFmtId="0" fontId="19" fillId="2" borderId="0" xfId="0" applyFont="1" applyFill="1" applyAlignment="1">
      <alignment horizontal="left" vertical="top" wrapText="1"/>
    </xf>
    <xf numFmtId="0" fontId="4" fillId="2" borderId="9" xfId="0" applyFont="1" applyFill="1" applyBorder="1" applyAlignment="1">
      <alignment horizontal="left" vertical="top" wrapText="1"/>
    </xf>
    <xf numFmtId="0" fontId="19" fillId="2" borderId="0" xfId="0" applyFont="1" applyFill="1" applyAlignment="1">
      <alignment horizontal="center" vertical="top"/>
    </xf>
    <xf numFmtId="167" fontId="4" fillId="2" borderId="11" xfId="1" quotePrefix="1" applyNumberFormat="1" applyFont="1" applyFill="1" applyBorder="1" applyAlignment="1">
      <alignment horizontal="left" vertical="top" wrapText="1"/>
    </xf>
    <xf numFmtId="167" fontId="4" fillId="2" borderId="11" xfId="1" quotePrefix="1" applyNumberFormat="1" applyFont="1" applyFill="1" applyBorder="1" applyAlignment="1">
      <alignment vertical="top" wrapText="1"/>
    </xf>
    <xf numFmtId="0" fontId="19" fillId="2" borderId="0" xfId="0" applyFont="1" applyFill="1" applyAlignment="1">
      <alignment horizontal="left" vertical="top"/>
    </xf>
    <xf numFmtId="0" fontId="21" fillId="2" borderId="7" xfId="0" applyFont="1" applyFill="1" applyBorder="1" applyAlignment="1">
      <alignment vertical="top" wrapText="1"/>
    </xf>
    <xf numFmtId="0" fontId="19" fillId="2" borderId="0" xfId="0" applyFont="1" applyFill="1" applyAlignment="1">
      <alignment horizontal="center"/>
    </xf>
    <xf numFmtId="3" fontId="4" fillId="2" borderId="7" xfId="1" quotePrefix="1" applyNumberFormat="1" applyFont="1" applyFill="1" applyBorder="1" applyAlignment="1">
      <alignment horizontal="right" vertical="top" wrapText="1"/>
    </xf>
    <xf numFmtId="167" fontId="4" fillId="2" borderId="7" xfId="1" quotePrefix="1" applyNumberFormat="1" applyFont="1" applyFill="1" applyBorder="1" applyAlignment="1">
      <alignment horizontal="center" vertical="top" wrapText="1"/>
    </xf>
    <xf numFmtId="0" fontId="4" fillId="2" borderId="7" xfId="0" quotePrefix="1" applyFont="1" applyFill="1" applyBorder="1" applyAlignment="1">
      <alignment horizontal="left" vertical="top" wrapText="1" indent="1"/>
    </xf>
    <xf numFmtId="3" fontId="4" fillId="2" borderId="7" xfId="1" quotePrefix="1" applyNumberFormat="1" applyFont="1" applyFill="1" applyBorder="1" applyAlignment="1">
      <alignment horizontal="center" vertical="top" wrapText="1"/>
    </xf>
    <xf numFmtId="0" fontId="4" fillId="2" borderId="11" xfId="0" quotePrefix="1" applyFont="1" applyFill="1" applyBorder="1" applyAlignment="1">
      <alignment horizontal="left" vertical="top" wrapText="1" indent="1"/>
    </xf>
    <xf numFmtId="0" fontId="4" fillId="2" borderId="14" xfId="0" quotePrefix="1" applyFont="1" applyFill="1" applyBorder="1" applyAlignment="1">
      <alignment horizontal="left" vertical="top" wrapText="1"/>
    </xf>
    <xf numFmtId="0" fontId="19" fillId="2" borderId="0" xfId="0" applyFont="1" applyFill="1" applyAlignment="1">
      <alignment horizontal="left"/>
    </xf>
    <xf numFmtId="2" fontId="19" fillId="2" borderId="9" xfId="0" applyNumberFormat="1" applyFont="1" applyFill="1" applyBorder="1" applyAlignment="1">
      <alignment horizontal="left" vertical="center" wrapText="1"/>
    </xf>
    <xf numFmtId="0" fontId="20" fillId="3" borderId="9" xfId="0" quotePrefix="1"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4" xfId="0" applyFont="1" applyFill="1" applyBorder="1" applyAlignment="1">
      <alignment horizontal="center" vertical="center" wrapText="1"/>
    </xf>
    <xf numFmtId="168" fontId="20" fillId="3" borderId="9" xfId="0" applyNumberFormat="1" applyFont="1" applyFill="1" applyBorder="1" applyAlignment="1">
      <alignment horizontal="center" vertical="center" wrapText="1"/>
    </xf>
    <xf numFmtId="0" fontId="20" fillId="3" borderId="7" xfId="0" applyFont="1" applyFill="1" applyBorder="1" applyAlignment="1">
      <alignment horizontal="center" vertical="center"/>
    </xf>
    <xf numFmtId="0" fontId="20" fillId="3" borderId="7" xfId="0" quotePrefix="1" applyFont="1" applyFill="1" applyBorder="1" applyAlignment="1">
      <alignment horizontal="center" vertical="center" wrapText="1"/>
    </xf>
    <xf numFmtId="168" fontId="20" fillId="3" borderId="7" xfId="0" applyNumberFormat="1" applyFont="1" applyFill="1" applyBorder="1" applyAlignment="1">
      <alignment horizontal="center" vertical="center" wrapText="1"/>
    </xf>
    <xf numFmtId="0" fontId="20" fillId="3" borderId="7" xfId="0" quotePrefix="1" applyFont="1" applyFill="1" applyBorder="1" applyAlignment="1">
      <alignment horizontal="left" vertical="center" wrapText="1"/>
    </xf>
    <xf numFmtId="0" fontId="25" fillId="4" borderId="7"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0" fillId="3" borderId="6" xfId="0" quotePrefix="1"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3" xfId="0" applyFont="1" applyFill="1" applyBorder="1" applyAlignment="1">
      <alignment horizontal="center" vertical="center" wrapText="1"/>
    </xf>
    <xf numFmtId="168" fontId="20" fillId="3" borderId="6" xfId="0" applyNumberFormat="1" applyFont="1" applyFill="1" applyBorder="1" applyAlignment="1">
      <alignment horizontal="center" vertical="center" wrapText="1"/>
    </xf>
    <xf numFmtId="0" fontId="25" fillId="4" borderId="7" xfId="0" quotePrefix="1"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3" xfId="0" quotePrefix="1" applyFont="1" applyFill="1" applyBorder="1" applyAlignment="1">
      <alignment horizontal="center" vertical="center" wrapText="1"/>
    </xf>
    <xf numFmtId="0" fontId="20" fillId="3" borderId="3" xfId="0" quotePrefix="1" applyFont="1" applyFill="1" applyBorder="1" applyAlignment="1">
      <alignment horizontal="center" vertical="center" wrapText="1"/>
    </xf>
    <xf numFmtId="0" fontId="20" fillId="5" borderId="7" xfId="0" quotePrefix="1" applyFont="1" applyFill="1" applyBorder="1" applyAlignment="1">
      <alignment horizontal="center" vertical="center" wrapText="1"/>
    </xf>
    <xf numFmtId="0" fontId="25" fillId="3" borderId="7" xfId="4" applyFont="1" applyFill="1" applyBorder="1" applyAlignment="1">
      <alignment horizontal="center" vertical="center" wrapText="1"/>
    </xf>
    <xf numFmtId="0" fontId="20" fillId="2" borderId="0" xfId="0" applyFont="1" applyFill="1"/>
    <xf numFmtId="0" fontId="20" fillId="2" borderId="7" xfId="0" applyFont="1" applyFill="1" applyBorder="1" applyAlignment="1">
      <alignment horizontal="center" vertical="center"/>
    </xf>
    <xf numFmtId="0" fontId="25" fillId="2" borderId="7" xfId="0" quotePrefix="1" applyFont="1" applyFill="1" applyBorder="1" applyAlignment="1">
      <alignment horizontal="center" vertical="center" wrapText="1"/>
    </xf>
    <xf numFmtId="167" fontId="4" fillId="2" borderId="24" xfId="1" quotePrefix="1" applyNumberFormat="1" applyFont="1" applyFill="1" applyBorder="1" applyAlignment="1">
      <alignment vertical="top" wrapText="1"/>
    </xf>
    <xf numFmtId="167" fontId="4" fillId="2" borderId="2" xfId="1" quotePrefix="1" applyNumberFormat="1" applyFont="1" applyFill="1" applyBorder="1" applyAlignment="1">
      <alignment horizontal="center" vertical="top" wrapText="1"/>
    </xf>
    <xf numFmtId="0" fontId="19" fillId="2" borderId="9" xfId="0" applyFont="1" applyFill="1" applyBorder="1"/>
    <xf numFmtId="0" fontId="20" fillId="3" borderId="15" xfId="0" applyFont="1" applyFill="1" applyBorder="1" applyAlignment="1">
      <alignment horizontal="center" vertical="center"/>
    </xf>
    <xf numFmtId="0" fontId="20" fillId="3" borderId="25" xfId="0" applyFont="1" applyFill="1" applyBorder="1" applyAlignment="1">
      <alignment horizontal="center" vertical="center"/>
    </xf>
    <xf numFmtId="0" fontId="25" fillId="4" borderId="25"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5" fillId="3" borderId="25" xfId="4" applyFont="1" applyFill="1" applyBorder="1" applyAlignment="1">
      <alignment horizontal="center" vertical="center" wrapText="1"/>
    </xf>
    <xf numFmtId="168" fontId="20" fillId="3" borderId="25" xfId="0" applyNumberFormat="1" applyFont="1" applyFill="1" applyBorder="1" applyAlignment="1">
      <alignment horizontal="center" vertical="center" wrapText="1"/>
    </xf>
    <xf numFmtId="168" fontId="20" fillId="3" borderId="26" xfId="0" applyNumberFormat="1" applyFont="1" applyFill="1" applyBorder="1" applyAlignment="1">
      <alignment horizontal="center" vertical="center" wrapText="1"/>
    </xf>
    <xf numFmtId="49" fontId="4" fillId="2" borderId="8" xfId="7" applyNumberFormat="1" applyFont="1" applyFill="1" applyBorder="1" applyAlignment="1">
      <alignment horizontal="center" vertical="top" wrapText="1"/>
    </xf>
    <xf numFmtId="0" fontId="30" fillId="2" borderId="7" xfId="0" applyFont="1" applyFill="1" applyBorder="1"/>
    <xf numFmtId="0" fontId="0" fillId="2" borderId="0" xfId="0" applyFill="1"/>
    <xf numFmtId="0" fontId="46" fillId="2" borderId="0" xfId="0" applyFont="1" applyFill="1" applyAlignment="1">
      <alignment wrapText="1"/>
    </xf>
    <xf numFmtId="0" fontId="25" fillId="2" borderId="1" xfId="0" applyFont="1" applyFill="1" applyBorder="1" applyAlignment="1">
      <alignment vertical="top" wrapText="1"/>
    </xf>
    <xf numFmtId="0" fontId="25" fillId="2" borderId="7" xfId="0" applyFont="1" applyFill="1" applyBorder="1" applyAlignment="1">
      <alignment horizontal="center" vertical="top" wrapText="1"/>
    </xf>
    <xf numFmtId="3" fontId="25" fillId="2" borderId="1" xfId="0" applyNumberFormat="1" applyFont="1" applyFill="1" applyBorder="1" applyAlignment="1">
      <alignment vertical="top" wrapText="1"/>
    </xf>
    <xf numFmtId="0" fontId="47" fillId="2" borderId="0" xfId="0" applyFont="1" applyFill="1" applyAlignment="1">
      <alignment wrapText="1"/>
    </xf>
    <xf numFmtId="0" fontId="4" fillId="2" borderId="1" xfId="0" applyFont="1" applyFill="1" applyBorder="1" applyAlignment="1">
      <alignment horizontal="left"/>
    </xf>
    <xf numFmtId="0" fontId="4" fillId="2" borderId="1" xfId="0" applyFont="1" applyFill="1" applyBorder="1" applyAlignment="1">
      <alignment horizontal="left" vertical="center" wrapText="1"/>
    </xf>
    <xf numFmtId="0" fontId="5" fillId="2" borderId="0" xfId="0" applyFont="1" applyFill="1"/>
    <xf numFmtId="0" fontId="6" fillId="2" borderId="0" xfId="0" applyFont="1" applyFill="1"/>
    <xf numFmtId="3" fontId="6" fillId="2" borderId="0" xfId="0" applyNumberFormat="1" applyFont="1" applyFill="1"/>
    <xf numFmtId="0" fontId="0" fillId="2" borderId="0" xfId="0" applyFont="1" applyFill="1" applyAlignment="1"/>
    <xf numFmtId="0" fontId="7" fillId="2" borderId="0" xfId="0" applyFont="1" applyFill="1" applyAlignment="1">
      <alignment vertical="top"/>
    </xf>
    <xf numFmtId="0" fontId="8" fillId="2" borderId="1" xfId="0" applyFont="1" applyFill="1" applyBorder="1" applyAlignment="1">
      <alignment horizontal="center" vertical="center" wrapText="1"/>
    </xf>
    <xf numFmtId="49" fontId="8" fillId="2" borderId="7"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0" fontId="25" fillId="2" borderId="9" xfId="0" applyFont="1" applyFill="1" applyBorder="1" applyAlignment="1">
      <alignment vertical="top" wrapText="1"/>
    </xf>
    <xf numFmtId="0" fontId="21" fillId="2" borderId="7" xfId="0" applyFont="1" applyFill="1" applyBorder="1" applyAlignment="1">
      <alignment vertical="center" wrapText="1"/>
    </xf>
    <xf numFmtId="0" fontId="19" fillId="2" borderId="0" xfId="0" applyFont="1" applyFill="1" applyAlignment="1">
      <alignment wrapText="1"/>
    </xf>
    <xf numFmtId="0" fontId="20" fillId="2" borderId="7" xfId="0" applyFont="1" applyFill="1" applyBorder="1" applyAlignment="1">
      <alignment vertical="top" wrapText="1"/>
    </xf>
    <xf numFmtId="0" fontId="20" fillId="2" borderId="6" xfId="0" applyFont="1" applyFill="1" applyBorder="1" applyAlignment="1">
      <alignment vertical="top" wrapText="1"/>
    </xf>
    <xf numFmtId="0" fontId="20" fillId="2" borderId="0" xfId="0" applyFont="1" applyFill="1" applyAlignment="1">
      <alignment vertical="top"/>
    </xf>
    <xf numFmtId="0" fontId="25" fillId="2" borderId="1" xfId="0" applyFont="1" applyFill="1" applyBorder="1" applyAlignment="1">
      <alignment horizontal="center" vertical="top" wrapText="1"/>
    </xf>
    <xf numFmtId="164" fontId="25" fillId="2" borderId="1" xfId="2" applyFont="1" applyFill="1" applyBorder="1" applyAlignment="1">
      <alignment vertical="top" wrapText="1"/>
    </xf>
    <xf numFmtId="0" fontId="25" fillId="2" borderId="1" xfId="3" applyFont="1" applyFill="1" applyBorder="1" applyAlignment="1">
      <alignment horizontal="center" vertical="center" wrapText="1"/>
    </xf>
    <xf numFmtId="0" fontId="25" fillId="2" borderId="1" xfId="3" applyFont="1" applyFill="1" applyBorder="1" applyAlignment="1">
      <alignment horizontal="left" vertical="center" wrapText="1"/>
    </xf>
    <xf numFmtId="0" fontId="25" fillId="2" borderId="7" xfId="3" applyFont="1" applyFill="1" applyBorder="1" applyAlignment="1">
      <alignment horizontal="center" vertical="center" wrapText="1"/>
    </xf>
    <xf numFmtId="3" fontId="25" fillId="2" borderId="1" xfId="3" applyNumberFormat="1" applyFont="1" applyFill="1" applyBorder="1" applyAlignment="1">
      <alignment horizontal="center" vertical="center" wrapText="1"/>
    </xf>
    <xf numFmtId="0" fontId="25" fillId="2" borderId="7" xfId="0" applyFont="1" applyFill="1" applyBorder="1" applyAlignment="1">
      <alignment vertical="top" wrapText="1"/>
    </xf>
    <xf numFmtId="0" fontId="25" fillId="2" borderId="7" xfId="0" applyFont="1" applyFill="1" applyBorder="1"/>
    <xf numFmtId="0" fontId="25" fillId="2" borderId="1" xfId="0" applyFont="1" applyFill="1" applyBorder="1" applyAlignment="1">
      <alignment horizontal="left" vertical="top" wrapText="1"/>
    </xf>
    <xf numFmtId="0" fontId="25" fillId="2" borderId="1" xfId="0" quotePrefix="1" applyFont="1" applyFill="1" applyBorder="1" applyAlignment="1">
      <alignment vertical="top" wrapText="1"/>
    </xf>
    <xf numFmtId="3" fontId="25" fillId="2" borderId="1" xfId="3" applyNumberFormat="1" applyFont="1" applyFill="1" applyBorder="1" applyAlignment="1">
      <alignment horizontal="right" vertical="center" wrapText="1"/>
    </xf>
    <xf numFmtId="0" fontId="20" fillId="2" borderId="10" xfId="0" applyFont="1" applyFill="1" applyBorder="1" applyAlignment="1">
      <alignment vertical="top" wrapText="1"/>
    </xf>
    <xf numFmtId="0" fontId="20" fillId="2" borderId="9" xfId="0" applyFont="1" applyFill="1" applyBorder="1" applyAlignment="1">
      <alignment wrapText="1"/>
    </xf>
    <xf numFmtId="3" fontId="20" fillId="2" borderId="6" xfId="0" applyNumberFormat="1" applyFont="1" applyFill="1" applyBorder="1" applyAlignment="1">
      <alignment horizontal="right" vertical="top" wrapText="1"/>
    </xf>
    <xf numFmtId="0" fontId="20" fillId="2" borderId="5" xfId="0" applyFont="1" applyFill="1" applyBorder="1" applyAlignment="1">
      <alignment vertical="top" wrapText="1"/>
    </xf>
    <xf numFmtId="0" fontId="20" fillId="2" borderId="9" xfId="0" applyFont="1" applyFill="1" applyBorder="1" applyAlignment="1">
      <alignment vertical="top" wrapText="1"/>
    </xf>
    <xf numFmtId="0" fontId="48" fillId="2" borderId="1" xfId="3" applyFont="1" applyFill="1" applyBorder="1" applyAlignment="1">
      <alignment horizontal="center" vertical="center" wrapText="1"/>
    </xf>
    <xf numFmtId="164" fontId="25" fillId="2" borderId="1" xfId="0" applyNumberFormat="1" applyFont="1" applyFill="1" applyBorder="1" applyAlignment="1">
      <alignment vertical="top" wrapText="1"/>
    </xf>
    <xf numFmtId="164" fontId="25" fillId="2" borderId="7" xfId="0" applyNumberFormat="1" applyFont="1" applyFill="1" applyBorder="1" applyAlignment="1">
      <alignment vertical="top" wrapText="1"/>
    </xf>
    <xf numFmtId="0" fontId="45" fillId="2" borderId="15" xfId="0" applyFont="1" applyFill="1" applyBorder="1" applyAlignment="1">
      <alignment vertical="top" wrapText="1"/>
    </xf>
    <xf numFmtId="0" fontId="45" fillId="2" borderId="25" xfId="0" applyFont="1" applyFill="1" applyBorder="1" applyAlignment="1">
      <alignment vertical="top" wrapText="1"/>
    </xf>
    <xf numFmtId="0" fontId="45" fillId="2" borderId="25" xfId="0" applyFont="1" applyFill="1" applyBorder="1" applyAlignment="1">
      <alignment horizontal="center" vertical="top" wrapText="1"/>
    </xf>
    <xf numFmtId="0" fontId="25" fillId="2" borderId="25" xfId="0" applyFont="1" applyFill="1" applyBorder="1"/>
    <xf numFmtId="164" fontId="45" fillId="2" borderId="25" xfId="0" applyNumberFormat="1" applyFont="1" applyFill="1" applyBorder="1" applyAlignment="1">
      <alignment vertical="top" wrapText="1"/>
    </xf>
    <xf numFmtId="0" fontId="45" fillId="2" borderId="26" xfId="0" applyFont="1" applyFill="1" applyBorder="1" applyAlignment="1">
      <alignment vertical="top" wrapText="1"/>
    </xf>
    <xf numFmtId="0" fontId="20" fillId="2" borderId="0" xfId="0" applyFont="1" applyFill="1" applyAlignment="1"/>
    <xf numFmtId="0" fontId="20" fillId="2" borderId="0" xfId="0" applyFont="1" applyFill="1" applyAlignment="1">
      <alignment vertical="center" wrapText="1"/>
    </xf>
    <xf numFmtId="0" fontId="24" fillId="2" borderId="1" xfId="0" applyFont="1" applyFill="1" applyBorder="1" applyAlignment="1">
      <alignment horizontal="center" vertical="center" wrapText="1"/>
    </xf>
    <xf numFmtId="0" fontId="24" fillId="2" borderId="0" xfId="0" applyFont="1" applyFill="1" applyAlignment="1">
      <alignment horizontal="center" vertical="center" wrapText="1"/>
    </xf>
    <xf numFmtId="49" fontId="24" fillId="2" borderId="7" xfId="0" applyNumberFormat="1" applyFont="1" applyFill="1" applyBorder="1" applyAlignment="1">
      <alignment horizontal="center" vertical="center"/>
    </xf>
    <xf numFmtId="3" fontId="24" fillId="2" borderId="7" xfId="0" applyNumberFormat="1" applyFont="1" applyFill="1" applyBorder="1" applyAlignment="1">
      <alignment horizontal="center" vertical="center"/>
    </xf>
    <xf numFmtId="49" fontId="24" fillId="2" borderId="0" xfId="0" applyNumberFormat="1" applyFont="1" applyFill="1" applyAlignment="1">
      <alignment horizontal="center"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9" fillId="2" borderId="4" xfId="0" applyFont="1" applyFill="1" applyBorder="1" applyAlignment="1">
      <alignment vertical="center"/>
    </xf>
    <xf numFmtId="0" fontId="20" fillId="2" borderId="7" xfId="0" applyFont="1" applyFill="1" applyBorder="1" applyAlignment="1">
      <alignment horizontal="left" vertical="top" wrapText="1"/>
    </xf>
    <xf numFmtId="0" fontId="20" fillId="2" borderId="7" xfId="0" applyFont="1" applyFill="1" applyBorder="1" applyAlignment="1">
      <alignment horizontal="left" vertical="top"/>
    </xf>
    <xf numFmtId="0" fontId="20" fillId="2" borderId="6" xfId="0" applyFont="1" applyFill="1" applyBorder="1" applyAlignment="1">
      <alignment horizontal="left" vertical="top"/>
    </xf>
    <xf numFmtId="3" fontId="20" fillId="2" borderId="7" xfId="0" applyNumberFormat="1" applyFont="1" applyFill="1" applyBorder="1" applyAlignment="1">
      <alignment horizontal="center" vertical="top" wrapText="1"/>
    </xf>
    <xf numFmtId="3" fontId="20" fillId="2" borderId="7" xfId="0" applyNumberFormat="1" applyFont="1" applyFill="1" applyBorder="1" applyAlignment="1">
      <alignment horizontal="right" vertical="top"/>
    </xf>
    <xf numFmtId="3" fontId="20" fillId="2" borderId="2" xfId="0" applyNumberFormat="1" applyFont="1" applyFill="1" applyBorder="1" applyAlignment="1">
      <alignment horizontal="left" vertical="top"/>
    </xf>
    <xf numFmtId="0" fontId="20" fillId="2" borderId="9" xfId="0" applyFont="1" applyFill="1" applyBorder="1" applyAlignment="1">
      <alignment vertical="top"/>
    </xf>
    <xf numFmtId="0" fontId="20" fillId="2" borderId="7" xfId="0" applyFont="1" applyFill="1" applyBorder="1" applyAlignment="1">
      <alignment horizontal="center" vertical="top" wrapText="1"/>
    </xf>
    <xf numFmtId="0" fontId="21" fillId="2" borderId="7" xfId="0" applyFont="1" applyFill="1" applyBorder="1" applyAlignment="1">
      <alignment horizontal="left" vertical="center"/>
    </xf>
    <xf numFmtId="3" fontId="20" fillId="2" borderId="7" xfId="0" applyNumberFormat="1" applyFont="1" applyFill="1" applyBorder="1" applyAlignment="1">
      <alignment horizontal="right" vertical="top" wrapText="1"/>
    </xf>
    <xf numFmtId="0" fontId="20" fillId="2" borderId="2" xfId="0" applyFont="1" applyFill="1" applyBorder="1" applyAlignment="1">
      <alignment vertical="top" wrapText="1"/>
    </xf>
    <xf numFmtId="0" fontId="21" fillId="2" borderId="7" xfId="0" applyFont="1" applyFill="1" applyBorder="1" applyAlignment="1">
      <alignment horizontal="center" vertical="top"/>
    </xf>
    <xf numFmtId="0" fontId="21" fillId="2" borderId="7" xfId="0" applyFont="1" applyFill="1" applyBorder="1" applyAlignment="1">
      <alignment vertical="center"/>
    </xf>
    <xf numFmtId="3" fontId="21" fillId="2" borderId="7" xfId="0" applyNumberFormat="1" applyFont="1" applyFill="1" applyBorder="1" applyAlignment="1">
      <alignment horizontal="center" vertical="center"/>
    </xf>
    <xf numFmtId="3" fontId="21" fillId="2" borderId="7" xfId="0" applyNumberFormat="1" applyFont="1" applyFill="1" applyBorder="1" applyAlignment="1">
      <alignment horizontal="right" vertical="center"/>
    </xf>
    <xf numFmtId="0" fontId="21" fillId="2" borderId="2" xfId="0" applyFont="1" applyFill="1" applyBorder="1" applyAlignment="1">
      <alignment vertical="center"/>
    </xf>
    <xf numFmtId="0" fontId="4" fillId="2" borderId="7" xfId="0" applyFont="1" applyFill="1" applyBorder="1" applyAlignment="1">
      <alignment vertical="top" wrapText="1"/>
    </xf>
    <xf numFmtId="0" fontId="18" fillId="2" borderId="7" xfId="0" applyFont="1" applyFill="1" applyBorder="1" applyAlignment="1">
      <alignment vertical="top" wrapText="1"/>
    </xf>
    <xf numFmtId="3" fontId="24" fillId="2" borderId="7" xfId="0" applyNumberFormat="1" applyFont="1" applyFill="1" applyBorder="1" applyAlignment="1">
      <alignment horizontal="right" vertical="top" wrapText="1"/>
    </xf>
    <xf numFmtId="0" fontId="24" fillId="2" borderId="2" xfId="0" applyFont="1" applyFill="1" applyBorder="1" applyAlignment="1">
      <alignment vertical="top" wrapText="1"/>
    </xf>
    <xf numFmtId="0" fontId="21" fillId="2" borderId="2" xfId="0" applyFont="1" applyFill="1" applyBorder="1" applyAlignment="1">
      <alignment horizontal="left" vertical="top"/>
    </xf>
    <xf numFmtId="0" fontId="4" fillId="2" borderId="9" xfId="0" applyFont="1" applyFill="1" applyBorder="1" applyAlignment="1">
      <alignment vertical="top" wrapText="1"/>
    </xf>
    <xf numFmtId="0" fontId="21" fillId="2" borderId="9" xfId="0" applyFont="1" applyFill="1" applyBorder="1" applyAlignment="1">
      <alignment vertical="top" wrapText="1"/>
    </xf>
    <xf numFmtId="0" fontId="22" fillId="2" borderId="9" xfId="0" applyFont="1" applyFill="1" applyBorder="1" applyAlignment="1">
      <alignment vertical="top" wrapText="1"/>
    </xf>
    <xf numFmtId="3" fontId="21" fillId="2" borderId="9" xfId="0" applyNumberFormat="1" applyFont="1" applyFill="1" applyBorder="1" applyAlignment="1">
      <alignment horizontal="center" vertical="top" wrapText="1"/>
    </xf>
    <xf numFmtId="3" fontId="20" fillId="2" borderId="10" xfId="0" applyNumberFormat="1" applyFont="1" applyFill="1" applyBorder="1" applyAlignment="1">
      <alignment horizontal="right" vertical="top" wrapText="1"/>
    </xf>
    <xf numFmtId="0" fontId="19" fillId="2" borderId="0" xfId="0" applyFont="1" applyFill="1" applyAlignment="1">
      <alignment vertical="top"/>
    </xf>
    <xf numFmtId="0" fontId="21" fillId="2" borderId="2" xfId="0" applyFont="1" applyFill="1" applyBorder="1" applyAlignment="1">
      <alignment horizontal="left" vertical="center"/>
    </xf>
    <xf numFmtId="0" fontId="21" fillId="2" borderId="9" xfId="0" applyFont="1" applyFill="1" applyBorder="1" applyAlignment="1">
      <alignment vertical="center" wrapText="1"/>
    </xf>
    <xf numFmtId="0" fontId="22" fillId="2" borderId="9" xfId="0" applyFont="1" applyFill="1" applyBorder="1" applyAlignment="1">
      <alignment vertical="center" wrapText="1"/>
    </xf>
    <xf numFmtId="3" fontId="21" fillId="2" borderId="9" xfId="0" applyNumberFormat="1" applyFont="1" applyFill="1" applyBorder="1" applyAlignment="1">
      <alignment horizontal="center" vertical="center" wrapText="1"/>
    </xf>
    <xf numFmtId="3" fontId="20" fillId="2" borderId="2" xfId="0" applyNumberFormat="1" applyFont="1" applyFill="1" applyBorder="1" applyAlignment="1">
      <alignment horizontal="right" vertical="top" wrapText="1"/>
    </xf>
    <xf numFmtId="0" fontId="21" fillId="2" borderId="1" xfId="3" applyFont="1" applyFill="1" applyBorder="1" applyAlignment="1">
      <alignment horizontal="left" vertical="top"/>
    </xf>
    <xf numFmtId="0" fontId="4" fillId="2" borderId="5" xfId="3" applyFont="1" applyFill="1" applyBorder="1" applyAlignment="1">
      <alignment vertical="top" wrapText="1"/>
    </xf>
    <xf numFmtId="0" fontId="20" fillId="2" borderId="1" xfId="3" applyFont="1" applyFill="1" applyBorder="1" applyAlignment="1">
      <alignment horizontal="left" vertical="top" wrapText="1"/>
    </xf>
    <xf numFmtId="0" fontId="4" fillId="2" borderId="0" xfId="0" applyFont="1" applyFill="1" applyAlignment="1">
      <alignment vertical="top" wrapText="1"/>
    </xf>
    <xf numFmtId="3" fontId="20" fillId="2" borderId="1" xfId="3" applyNumberFormat="1" applyFont="1" applyFill="1" applyBorder="1" applyAlignment="1">
      <alignment horizontal="center" vertical="top" wrapText="1"/>
    </xf>
    <xf numFmtId="3" fontId="20" fillId="2" borderId="1" xfId="3" applyNumberFormat="1" applyFont="1" applyFill="1" applyBorder="1" applyAlignment="1">
      <alignment horizontal="right" vertical="top"/>
    </xf>
    <xf numFmtId="0" fontId="20" fillId="2" borderId="2" xfId="3" applyFont="1" applyFill="1" applyBorder="1" applyAlignment="1">
      <alignment horizontal="left" vertical="top"/>
    </xf>
    <xf numFmtId="20" fontId="0" fillId="2" borderId="7" xfId="0" applyNumberFormat="1" applyFill="1" applyBorder="1" applyAlignment="1">
      <alignment horizontal="left" vertical="top"/>
    </xf>
    <xf numFmtId="0" fontId="21" fillId="2" borderId="7" xfId="0" applyFont="1" applyFill="1" applyBorder="1" applyAlignment="1">
      <alignment vertical="top"/>
    </xf>
    <xf numFmtId="3" fontId="21" fillId="2" borderId="7" xfId="0" applyNumberFormat="1" applyFont="1" applyFill="1" applyBorder="1" applyAlignment="1">
      <alignment horizontal="center" vertical="top"/>
    </xf>
    <xf numFmtId="3" fontId="21" fillId="2" borderId="7" xfId="0" applyNumberFormat="1" applyFont="1" applyFill="1" applyBorder="1" applyAlignment="1">
      <alignment horizontal="right" vertical="top"/>
    </xf>
    <xf numFmtId="0" fontId="21" fillId="2" borderId="2" xfId="0" applyFont="1" applyFill="1" applyBorder="1" applyAlignment="1">
      <alignment vertical="top"/>
    </xf>
    <xf numFmtId="0" fontId="21" fillId="2" borderId="9" xfId="0" applyFont="1" applyFill="1" applyBorder="1" applyAlignment="1">
      <alignment vertical="top"/>
    </xf>
    <xf numFmtId="0" fontId="0" fillId="2" borderId="0" xfId="0" applyFill="1" applyAlignment="1">
      <alignment vertical="top"/>
    </xf>
    <xf numFmtId="20" fontId="0" fillId="2" borderId="0" xfId="0" applyNumberFormat="1" applyFill="1" applyAlignment="1">
      <alignment horizontal="left" vertical="top"/>
    </xf>
    <xf numFmtId="0" fontId="20" fillId="2" borderId="0" xfId="0" applyFont="1" applyFill="1" applyAlignment="1">
      <alignment vertical="top" wrapText="1"/>
    </xf>
    <xf numFmtId="0" fontId="21" fillId="2" borderId="6" xfId="0" applyFont="1" applyFill="1" applyBorder="1" applyAlignment="1">
      <alignment vertical="top" wrapText="1"/>
    </xf>
    <xf numFmtId="0" fontId="21" fillId="2" borderId="6" xfId="0" applyFont="1" applyFill="1" applyBorder="1" applyAlignment="1">
      <alignment vertical="top"/>
    </xf>
    <xf numFmtId="3" fontId="21" fillId="2" borderId="6" xfId="0" applyNumberFormat="1" applyFont="1" applyFill="1" applyBorder="1" applyAlignment="1">
      <alignment horizontal="center" vertical="top"/>
    </xf>
    <xf numFmtId="3" fontId="21" fillId="2" borderId="6" xfId="0" applyNumberFormat="1" applyFont="1" applyFill="1" applyBorder="1" applyAlignment="1">
      <alignment horizontal="right" vertical="top"/>
    </xf>
    <xf numFmtId="0" fontId="0" fillId="2" borderId="9" xfId="0" applyFill="1" applyBorder="1" applyAlignment="1">
      <alignment vertical="top" wrapText="1"/>
    </xf>
    <xf numFmtId="0" fontId="22" fillId="2" borderId="7" xfId="0" applyFont="1" applyFill="1" applyBorder="1" applyAlignment="1">
      <alignment vertical="center"/>
    </xf>
    <xf numFmtId="0" fontId="23" fillId="2" borderId="7" xfId="0" applyFont="1" applyFill="1" applyBorder="1" applyAlignment="1">
      <alignment vertical="center" wrapText="1"/>
    </xf>
    <xf numFmtId="0" fontId="22" fillId="2" borderId="7" xfId="0" applyFont="1" applyFill="1" applyBorder="1" applyAlignment="1">
      <alignment vertical="center" wrapText="1"/>
    </xf>
    <xf numFmtId="3" fontId="21" fillId="2" borderId="7" xfId="0" applyNumberFormat="1" applyFont="1" applyFill="1" applyBorder="1" applyAlignment="1">
      <alignment horizontal="center" vertical="center" wrapText="1"/>
    </xf>
    <xf numFmtId="49" fontId="21" fillId="2" borderId="7" xfId="0" applyNumberFormat="1" applyFont="1" applyFill="1" applyBorder="1" applyAlignment="1">
      <alignment horizontal="left" vertical="center"/>
    </xf>
    <xf numFmtId="3" fontId="0" fillId="2" borderId="0" xfId="0" applyNumberFormat="1" applyFill="1" applyAlignment="1">
      <alignment horizontal="center"/>
    </xf>
    <xf numFmtId="2" fontId="21" fillId="2" borderId="9" xfId="0" applyNumberFormat="1" applyFont="1" applyFill="1" applyBorder="1" applyAlignment="1">
      <alignment horizontal="left" vertical="top" wrapText="1"/>
    </xf>
    <xf numFmtId="0" fontId="22" fillId="2" borderId="0" xfId="0" applyFont="1" applyFill="1" applyAlignment="1">
      <alignment horizontal="left" vertical="top" wrapText="1"/>
    </xf>
    <xf numFmtId="3" fontId="22" fillId="2" borderId="9" xfId="0" applyNumberFormat="1" applyFont="1" applyFill="1" applyBorder="1" applyAlignment="1">
      <alignment horizontal="right" vertical="top" wrapText="1"/>
    </xf>
    <xf numFmtId="0" fontId="0" fillId="2" borderId="0" xfId="0" applyFill="1" applyAlignment="1">
      <alignment horizontal="left" vertical="top" wrapText="1"/>
    </xf>
    <xf numFmtId="0" fontId="4" fillId="2" borderId="18" xfId="0" applyFont="1" applyFill="1" applyBorder="1" applyAlignment="1">
      <alignment vertical="top" wrapText="1"/>
    </xf>
    <xf numFmtId="0" fontId="0" fillId="2" borderId="0" xfId="0" applyFill="1" applyAlignment="1">
      <alignment vertical="top" wrapText="1"/>
    </xf>
    <xf numFmtId="0" fontId="22" fillId="2" borderId="7" xfId="0" applyFont="1" applyFill="1" applyBorder="1" applyAlignment="1">
      <alignment vertical="top"/>
    </xf>
    <xf numFmtId="3" fontId="0" fillId="2" borderId="0" xfId="0" applyNumberFormat="1" applyFill="1" applyAlignment="1">
      <alignment horizontal="right" vertical="top" wrapText="1"/>
    </xf>
    <xf numFmtId="3" fontId="0" fillId="2" borderId="17" xfId="0" applyNumberFormat="1" applyFill="1" applyBorder="1" applyAlignment="1">
      <alignment horizontal="center"/>
    </xf>
    <xf numFmtId="2" fontId="0" fillId="2" borderId="9" xfId="0" applyNumberFormat="1" applyFill="1" applyBorder="1" applyAlignment="1">
      <alignment horizontal="left" vertical="center" wrapText="1"/>
    </xf>
    <xf numFmtId="3" fontId="21" fillId="2" borderId="9" xfId="0" applyNumberFormat="1" applyFont="1" applyFill="1" applyBorder="1" applyAlignment="1">
      <alignment horizontal="center" vertical="center"/>
    </xf>
    <xf numFmtId="3" fontId="21" fillId="2" borderId="9" xfId="0" applyNumberFormat="1" applyFont="1" applyFill="1" applyBorder="1" applyAlignment="1">
      <alignment horizontal="right" vertical="center"/>
    </xf>
    <xf numFmtId="3" fontId="20" fillId="2" borderId="2" xfId="0" applyNumberFormat="1" applyFont="1" applyFill="1" applyBorder="1" applyAlignment="1">
      <alignment horizontal="center" vertical="top" wrapText="1"/>
    </xf>
    <xf numFmtId="3" fontId="21" fillId="2" borderId="9" xfId="0" applyNumberFormat="1" applyFont="1" applyFill="1" applyBorder="1" applyAlignment="1">
      <alignment horizontal="right" vertical="top" wrapText="1"/>
    </xf>
    <xf numFmtId="0" fontId="21" fillId="2" borderId="8" xfId="0" applyFont="1" applyFill="1" applyBorder="1" applyAlignment="1">
      <alignment horizontal="left" vertical="center"/>
    </xf>
    <xf numFmtId="0" fontId="4" fillId="2" borderId="9" xfId="0" applyFont="1" applyFill="1" applyBorder="1" applyAlignment="1">
      <alignment vertical="center" wrapText="1"/>
    </xf>
    <xf numFmtId="166" fontId="21" fillId="2" borderId="9" xfId="0" applyNumberFormat="1" applyFont="1" applyFill="1" applyBorder="1" applyAlignment="1">
      <alignment vertical="center"/>
    </xf>
    <xf numFmtId="0" fontId="19" fillId="2" borderId="9" xfId="0" applyFont="1" applyFill="1" applyBorder="1" applyAlignment="1">
      <alignment vertical="center" wrapText="1"/>
    </xf>
    <xf numFmtId="0" fontId="22" fillId="2" borderId="13" xfId="0" applyFont="1" applyFill="1" applyBorder="1" applyAlignment="1">
      <alignment horizontal="center" vertical="top" wrapText="1"/>
    </xf>
    <xf numFmtId="166" fontId="21" fillId="2" borderId="11" xfId="0" applyNumberFormat="1" applyFont="1" applyFill="1" applyBorder="1" applyAlignment="1">
      <alignment vertical="top" wrapText="1"/>
    </xf>
    <xf numFmtId="0" fontId="20" fillId="2" borderId="8" xfId="3" applyFont="1" applyFill="1" applyAlignment="1">
      <alignment horizontal="left" vertical="top"/>
    </xf>
    <xf numFmtId="0" fontId="4" fillId="2" borderId="7" xfId="3" applyFont="1" applyFill="1" applyBorder="1" applyAlignment="1">
      <alignment vertical="top" wrapText="1"/>
    </xf>
    <xf numFmtId="0" fontId="20" fillId="2" borderId="7" xfId="3" applyFont="1" applyFill="1" applyBorder="1" applyAlignment="1">
      <alignment horizontal="left" vertical="top" wrapText="1"/>
    </xf>
    <xf numFmtId="0" fontId="4" fillId="2" borderId="7" xfId="3" applyFont="1" applyFill="1" applyBorder="1" applyAlignment="1">
      <alignment horizontal="left" vertical="top" wrapText="1"/>
    </xf>
    <xf numFmtId="3" fontId="20" fillId="2" borderId="7" xfId="3" applyNumberFormat="1" applyFont="1" applyFill="1" applyBorder="1" applyAlignment="1">
      <alignment horizontal="center" vertical="top" wrapText="1"/>
    </xf>
    <xf numFmtId="3" fontId="20" fillId="2" borderId="7" xfId="3" applyNumberFormat="1" applyFont="1" applyFill="1" applyBorder="1" applyAlignment="1">
      <alignment horizontal="right" vertical="top" wrapText="1"/>
    </xf>
    <xf numFmtId="0" fontId="21" fillId="2" borderId="2" xfId="3" applyFont="1" applyFill="1" applyBorder="1" applyAlignment="1">
      <alignment horizontal="left" vertical="top"/>
    </xf>
    <xf numFmtId="0" fontId="4" fillId="2" borderId="0" xfId="0" applyFont="1" applyFill="1" applyAlignment="1">
      <alignment horizontal="left" vertical="top" wrapText="1"/>
    </xf>
    <xf numFmtId="0" fontId="19" fillId="2" borderId="0" xfId="0" applyFont="1" applyFill="1" applyAlignment="1">
      <alignment vertical="top" wrapText="1"/>
    </xf>
    <xf numFmtId="0" fontId="19" fillId="2" borderId="9" xfId="0" applyFont="1" applyFill="1" applyBorder="1" applyAlignment="1">
      <alignment vertical="top" wrapText="1"/>
    </xf>
    <xf numFmtId="0" fontId="21" fillId="2" borderId="11" xfId="0" applyFont="1" applyFill="1" applyBorder="1" applyAlignment="1">
      <alignment vertical="top" wrapText="1"/>
    </xf>
    <xf numFmtId="3" fontId="21" fillId="2" borderId="9" xfId="0" applyNumberFormat="1" applyFont="1" applyFill="1" applyBorder="1" applyAlignment="1">
      <alignment horizontal="center" vertical="top"/>
    </xf>
    <xf numFmtId="3" fontId="0" fillId="2" borderId="0" xfId="0" applyNumberFormat="1" applyFill="1" applyAlignment="1">
      <alignment horizontal="right" vertical="top"/>
    </xf>
    <xf numFmtId="166" fontId="21" fillId="2" borderId="11" xfId="0" applyNumberFormat="1" applyFont="1" applyFill="1" applyBorder="1" applyAlignment="1">
      <alignment vertical="top"/>
    </xf>
    <xf numFmtId="3" fontId="21" fillId="2" borderId="9" xfId="0" applyNumberFormat="1" applyFont="1" applyFill="1" applyBorder="1" applyAlignment="1">
      <alignment horizontal="right" vertical="top"/>
    </xf>
    <xf numFmtId="0" fontId="21" fillId="2" borderId="9" xfId="0" applyFont="1" applyFill="1" applyBorder="1" applyAlignment="1">
      <alignment horizontal="left" vertical="center" wrapText="1"/>
    </xf>
    <xf numFmtId="3" fontId="21" fillId="2" borderId="9" xfId="0" applyNumberFormat="1" applyFont="1" applyFill="1" applyBorder="1" applyAlignment="1">
      <alignment horizontal="right" vertical="center" wrapText="1"/>
    </xf>
    <xf numFmtId="0" fontId="21" fillId="2" borderId="11" xfId="0" applyFont="1" applyFill="1" applyBorder="1" applyAlignment="1">
      <alignment vertical="center" wrapText="1"/>
    </xf>
    <xf numFmtId="3" fontId="21" fillId="2" borderId="7" xfId="0" applyNumberFormat="1" applyFont="1" applyFill="1" applyBorder="1" applyAlignment="1">
      <alignment horizontal="right" vertical="top" wrapText="1"/>
    </xf>
    <xf numFmtId="166" fontId="21" fillId="2" borderId="7" xfId="0" applyNumberFormat="1" applyFont="1" applyFill="1" applyBorder="1" applyAlignment="1">
      <alignment vertical="top" wrapText="1"/>
    </xf>
    <xf numFmtId="0" fontId="21" fillId="2" borderId="14" xfId="0" applyFont="1" applyFill="1" applyBorder="1" applyAlignment="1">
      <alignment vertical="top" wrapText="1"/>
    </xf>
    <xf numFmtId="166" fontId="22" fillId="2" borderId="9" xfId="0" applyNumberFormat="1" applyFont="1" applyFill="1" applyBorder="1" applyAlignment="1">
      <alignment vertical="top" wrapText="1"/>
    </xf>
    <xf numFmtId="3" fontId="0" fillId="2" borderId="9" xfId="0" applyNumberFormat="1" applyFill="1" applyBorder="1" applyAlignment="1">
      <alignment horizontal="center" vertical="top"/>
    </xf>
    <xf numFmtId="166" fontId="21" fillId="2" borderId="9" xfId="0" applyNumberFormat="1" applyFont="1" applyFill="1" applyBorder="1" applyAlignment="1">
      <alignment vertical="top" wrapText="1"/>
    </xf>
    <xf numFmtId="0" fontId="21" fillId="2" borderId="13" xfId="0" applyFont="1" applyFill="1" applyBorder="1" applyAlignment="1">
      <alignment horizontal="left" vertical="top" wrapText="1"/>
    </xf>
    <xf numFmtId="0" fontId="22" fillId="2" borderId="13" xfId="0" applyFont="1" applyFill="1" applyBorder="1" applyAlignment="1">
      <alignment vertical="top" wrapText="1"/>
    </xf>
    <xf numFmtId="0" fontId="21" fillId="2" borderId="13" xfId="0" applyFont="1" applyFill="1" applyBorder="1" applyAlignment="1">
      <alignment vertical="top" wrapText="1"/>
    </xf>
    <xf numFmtId="3" fontId="0" fillId="2" borderId="9" xfId="0" applyNumberFormat="1" applyFill="1" applyBorder="1" applyAlignment="1">
      <alignment horizontal="right" vertical="top"/>
    </xf>
    <xf numFmtId="0" fontId="19" fillId="2" borderId="9" xfId="0" applyFont="1" applyFill="1" applyBorder="1" applyAlignment="1">
      <alignment horizontal="left" vertical="top" wrapText="1"/>
    </xf>
    <xf numFmtId="0" fontId="19" fillId="2" borderId="9" xfId="0" applyFont="1" applyFill="1" applyBorder="1" applyAlignment="1">
      <alignment horizontal="center" vertical="top" wrapText="1"/>
    </xf>
    <xf numFmtId="166" fontId="0" fillId="2" borderId="9" xfId="0" applyNumberFormat="1" applyFill="1" applyBorder="1" applyAlignment="1">
      <alignment vertical="top"/>
    </xf>
    <xf numFmtId="0" fontId="19" fillId="2" borderId="9" xfId="0" applyFont="1" applyFill="1" applyBorder="1" applyAlignment="1">
      <alignment horizontal="left" wrapText="1"/>
    </xf>
    <xf numFmtId="0" fontId="19" fillId="2" borderId="9" xfId="0" applyFont="1" applyFill="1" applyBorder="1" applyAlignment="1">
      <alignment horizontal="center" vertical="center" wrapText="1"/>
    </xf>
    <xf numFmtId="0" fontId="4" fillId="2" borderId="9" xfId="0" applyFont="1" applyFill="1" applyBorder="1"/>
    <xf numFmtId="0" fontId="0" fillId="2" borderId="7" xfId="0" applyFill="1" applyBorder="1" applyAlignment="1">
      <alignment vertical="top"/>
    </xf>
    <xf numFmtId="3" fontId="0" fillId="2" borderId="7" xfId="0" applyNumberFormat="1" applyFill="1" applyBorder="1" applyAlignment="1">
      <alignment horizontal="center" vertical="top"/>
    </xf>
    <xf numFmtId="3" fontId="0" fillId="2" borderId="7" xfId="0" applyNumberFormat="1" applyFill="1" applyBorder="1" applyAlignment="1">
      <alignment horizontal="right" vertical="top"/>
    </xf>
    <xf numFmtId="0" fontId="0" fillId="2" borderId="7" xfId="0" applyFill="1" applyBorder="1" applyAlignment="1">
      <alignment vertical="top" wrapText="1"/>
    </xf>
    <xf numFmtId="0" fontId="21" fillId="2" borderId="7" xfId="0" applyFont="1" applyFill="1" applyBorder="1" applyAlignment="1">
      <alignment horizontal="left" vertical="top"/>
    </xf>
    <xf numFmtId="0" fontId="22" fillId="2" borderId="7" xfId="0" applyFont="1" applyFill="1" applyBorder="1" applyAlignment="1">
      <alignment vertical="top" wrapText="1"/>
    </xf>
    <xf numFmtId="0" fontId="20" fillId="2" borderId="7" xfId="0" quotePrefix="1" applyFont="1" applyFill="1" applyBorder="1" applyAlignment="1">
      <alignment horizontal="left" vertical="top" wrapText="1"/>
    </xf>
    <xf numFmtId="0" fontId="4" fillId="2" borderId="7" xfId="0" applyFont="1" applyFill="1" applyBorder="1" applyAlignment="1">
      <alignment horizontal="left" vertical="top" wrapText="1"/>
    </xf>
    <xf numFmtId="0" fontId="23" fillId="2" borderId="7" xfId="0" applyFont="1" applyFill="1" applyBorder="1" applyAlignment="1">
      <alignment horizontal="left" vertical="top" wrapText="1"/>
    </xf>
    <xf numFmtId="0" fontId="22" fillId="2" borderId="7" xfId="0" applyFont="1" applyFill="1" applyBorder="1" applyAlignment="1">
      <alignment horizontal="left" vertical="top" wrapText="1"/>
    </xf>
    <xf numFmtId="20" fontId="21" fillId="2" borderId="7" xfId="0" applyNumberFormat="1" applyFont="1" applyFill="1" applyBorder="1" applyAlignment="1">
      <alignment horizontal="left" vertical="top"/>
    </xf>
    <xf numFmtId="0" fontId="24" fillId="2" borderId="7" xfId="0" applyFont="1" applyFill="1" applyBorder="1" applyAlignment="1">
      <alignment vertical="top" wrapText="1"/>
    </xf>
    <xf numFmtId="0" fontId="4" fillId="2" borderId="2" xfId="0" applyFont="1" applyFill="1" applyBorder="1" applyAlignment="1">
      <alignment vertical="top" wrapText="1"/>
    </xf>
    <xf numFmtId="3" fontId="19" fillId="2" borderId="9" xfId="0" applyNumberFormat="1" applyFont="1" applyFill="1" applyBorder="1" applyAlignment="1">
      <alignment horizontal="center"/>
    </xf>
    <xf numFmtId="3" fontId="20" fillId="2" borderId="4" xfId="0" applyNumberFormat="1" applyFont="1" applyFill="1" applyBorder="1" applyAlignment="1">
      <alignment horizontal="right" vertical="top" wrapText="1"/>
    </xf>
    <xf numFmtId="3" fontId="21" fillId="2" borderId="14" xfId="0" applyNumberFormat="1" applyFont="1" applyFill="1" applyBorder="1" applyAlignment="1">
      <alignment horizontal="right" vertical="top" wrapText="1"/>
    </xf>
    <xf numFmtId="0" fontId="22" fillId="2" borderId="2" xfId="0" applyFont="1" applyFill="1" applyBorder="1" applyAlignment="1">
      <alignment vertical="center" wrapText="1"/>
    </xf>
    <xf numFmtId="3" fontId="0" fillId="2" borderId="9" xfId="0" applyNumberFormat="1" applyFill="1" applyBorder="1" applyAlignment="1">
      <alignment horizontal="center"/>
    </xf>
    <xf numFmtId="3" fontId="21" fillId="2" borderId="4" xfId="0" applyNumberFormat="1" applyFont="1" applyFill="1" applyBorder="1" applyAlignment="1">
      <alignment horizontal="right" vertical="center" wrapText="1"/>
    </xf>
    <xf numFmtId="3" fontId="0" fillId="2" borderId="18" xfId="0" applyNumberFormat="1" applyFill="1" applyBorder="1" applyAlignment="1">
      <alignment horizontal="center"/>
    </xf>
    <xf numFmtId="3" fontId="20" fillId="2" borderId="9" xfId="0" applyNumberFormat="1" applyFont="1" applyFill="1" applyBorder="1" applyAlignment="1">
      <alignment horizontal="right" vertical="top" wrapText="1"/>
    </xf>
    <xf numFmtId="3" fontId="20" fillId="2" borderId="11" xfId="0" applyNumberFormat="1" applyFont="1" applyFill="1" applyBorder="1" applyAlignment="1">
      <alignment vertical="top" wrapText="1"/>
    </xf>
    <xf numFmtId="3" fontId="0" fillId="2" borderId="0" xfId="0" applyNumberFormat="1" applyFill="1" applyAlignment="1">
      <alignment horizontal="center" vertical="top"/>
    </xf>
    <xf numFmtId="0" fontId="21" fillId="2" borderId="12" xfId="0" applyFont="1" applyFill="1" applyBorder="1" applyAlignment="1">
      <alignment vertical="top" wrapText="1"/>
    </xf>
    <xf numFmtId="0" fontId="0" fillId="2" borderId="0" xfId="0" applyFill="1" applyAlignment="1">
      <alignment horizontal="center" vertical="top"/>
    </xf>
    <xf numFmtId="2" fontId="19" fillId="2" borderId="9" xfId="0" applyNumberFormat="1" applyFont="1" applyFill="1" applyBorder="1" applyAlignment="1">
      <alignment horizontal="left" wrapText="1"/>
    </xf>
    <xf numFmtId="0" fontId="0" fillId="2" borderId="13" xfId="0" applyFill="1" applyBorder="1" applyAlignment="1">
      <alignment horizontal="left" vertical="top" wrapText="1"/>
    </xf>
    <xf numFmtId="2" fontId="20" fillId="2" borderId="9" xfId="0" applyNumberFormat="1" applyFont="1" applyFill="1" applyBorder="1" applyAlignment="1">
      <alignment horizontal="left" vertical="top" wrapText="1"/>
    </xf>
    <xf numFmtId="2" fontId="20" fillId="2" borderId="9" xfId="0" applyNumberFormat="1" applyFont="1" applyFill="1" applyBorder="1" applyAlignment="1">
      <alignment vertical="top" wrapText="1"/>
    </xf>
    <xf numFmtId="0" fontId="20" fillId="2" borderId="9" xfId="0" applyFont="1" applyFill="1" applyBorder="1" applyAlignment="1">
      <alignment horizontal="left" vertical="top" wrapText="1"/>
    </xf>
    <xf numFmtId="0" fontId="20" fillId="2" borderId="0" xfId="0" applyFont="1" applyFill="1" applyAlignment="1">
      <alignment horizontal="center" vertical="top"/>
    </xf>
    <xf numFmtId="3" fontId="20" fillId="2" borderId="11" xfId="0" applyNumberFormat="1" applyFont="1" applyFill="1" applyBorder="1" applyAlignment="1">
      <alignment horizontal="left" vertical="top" wrapText="1"/>
    </xf>
    <xf numFmtId="0" fontId="20" fillId="2" borderId="0" xfId="0" applyFont="1" applyFill="1" applyAlignment="1">
      <alignment horizontal="left" vertical="top"/>
    </xf>
    <xf numFmtId="3" fontId="21" fillId="2" borderId="7" xfId="0" applyNumberFormat="1" applyFont="1" applyFill="1" applyBorder="1" applyAlignment="1">
      <alignment horizontal="right" vertical="center" wrapText="1"/>
    </xf>
    <xf numFmtId="0" fontId="4" fillId="2" borderId="27" xfId="0" applyFont="1" applyFill="1" applyBorder="1" applyAlignment="1">
      <alignment vertical="top" wrapText="1"/>
    </xf>
    <xf numFmtId="0" fontId="20" fillId="2" borderId="27" xfId="0" applyFont="1" applyFill="1" applyBorder="1" applyAlignment="1">
      <alignment vertical="top" wrapText="1"/>
    </xf>
    <xf numFmtId="0" fontId="0" fillId="2" borderId="9" xfId="0" applyFill="1" applyBorder="1"/>
    <xf numFmtId="0" fontId="21" fillId="2" borderId="7" xfId="0" quotePrefix="1" applyFont="1" applyFill="1" applyBorder="1" applyAlignment="1">
      <alignment horizontal="left" vertical="top"/>
    </xf>
    <xf numFmtId="0" fontId="4" fillId="2" borderId="1" xfId="0" applyFont="1" applyFill="1" applyBorder="1" applyAlignment="1">
      <alignment vertical="top" wrapText="1"/>
    </xf>
    <xf numFmtId="0" fontId="20" fillId="2" borderId="2" xfId="0" quotePrefix="1" applyFont="1" applyFill="1" applyBorder="1" applyAlignment="1">
      <alignment horizontal="left" vertical="top" wrapText="1"/>
    </xf>
    <xf numFmtId="0" fontId="20"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6" xfId="0" applyFont="1" applyFill="1" applyBorder="1" applyAlignment="1">
      <alignment vertical="top"/>
    </xf>
    <xf numFmtId="0" fontId="25" fillId="2" borderId="7" xfId="0" applyFont="1" applyFill="1" applyBorder="1" applyAlignment="1">
      <alignment horizontal="left" vertical="center"/>
    </xf>
    <xf numFmtId="0" fontId="26" fillId="2" borderId="7" xfId="0" applyFont="1" applyFill="1" applyBorder="1" applyAlignment="1">
      <alignment vertical="top" wrapText="1"/>
    </xf>
    <xf numFmtId="3" fontId="0" fillId="2" borderId="7" xfId="0" applyNumberFormat="1" applyFill="1" applyBorder="1" applyAlignment="1">
      <alignment horizontal="center"/>
    </xf>
    <xf numFmtId="0" fontId="4" fillId="2" borderId="9" xfId="0" applyFont="1" applyFill="1" applyBorder="1" applyAlignment="1">
      <alignment vertical="top"/>
    </xf>
    <xf numFmtId="0" fontId="20" fillId="2" borderId="7" xfId="3" applyFont="1" applyFill="1" applyBorder="1" applyAlignment="1">
      <alignment vertical="top" wrapText="1"/>
    </xf>
    <xf numFmtId="3" fontId="20" fillId="2" borderId="2" xfId="3" applyNumberFormat="1" applyFont="1" applyFill="1" applyBorder="1" applyAlignment="1">
      <alignment horizontal="right" vertical="top" wrapText="1"/>
    </xf>
    <xf numFmtId="0" fontId="4" fillId="2" borderId="1" xfId="3" applyFont="1" applyFill="1" applyBorder="1" applyAlignment="1">
      <alignment vertical="top" wrapText="1"/>
    </xf>
    <xf numFmtId="0" fontId="20" fillId="2" borderId="1" xfId="3" applyFont="1" applyFill="1" applyBorder="1" applyAlignment="1">
      <alignment vertical="top" wrapText="1"/>
    </xf>
    <xf numFmtId="3" fontId="20" fillId="2" borderId="1" xfId="3" applyNumberFormat="1" applyFont="1" applyFill="1" applyBorder="1" applyAlignment="1">
      <alignment horizontal="right" vertical="top" wrapText="1"/>
    </xf>
    <xf numFmtId="3" fontId="20" fillId="2" borderId="15" xfId="3" applyNumberFormat="1" applyFont="1" applyFill="1" applyBorder="1" applyAlignment="1">
      <alignment horizontal="right" vertical="top" wrapText="1"/>
    </xf>
    <xf numFmtId="3" fontId="20" fillId="2" borderId="2" xfId="0" applyNumberFormat="1" applyFont="1" applyFill="1" applyBorder="1" applyAlignment="1">
      <alignment horizontal="left" vertical="top" wrapText="1"/>
    </xf>
    <xf numFmtId="0" fontId="13" fillId="2" borderId="7" xfId="0" applyFont="1" applyFill="1" applyBorder="1" applyAlignment="1">
      <alignment vertical="center"/>
    </xf>
    <xf numFmtId="0" fontId="13" fillId="2" borderId="7" xfId="0" applyFont="1" applyFill="1" applyBorder="1" applyAlignment="1">
      <alignment vertical="center" wrapText="1"/>
    </xf>
    <xf numFmtId="0" fontId="22" fillId="2" borderId="7" xfId="0" applyFont="1" applyFill="1" applyBorder="1" applyAlignment="1">
      <alignment horizontal="left" vertical="top"/>
    </xf>
    <xf numFmtId="0" fontId="0" fillId="2" borderId="0" xfId="0" applyFill="1" applyAlignment="1">
      <alignment horizontal="left"/>
    </xf>
    <xf numFmtId="0" fontId="4" fillId="2" borderId="7" xfId="0" applyFont="1" applyFill="1" applyBorder="1" applyAlignment="1">
      <alignment horizontal="left" vertical="top"/>
    </xf>
    <xf numFmtId="3" fontId="4" fillId="2" borderId="7" xfId="0" applyNumberFormat="1" applyFont="1" applyFill="1" applyBorder="1" applyAlignment="1">
      <alignment horizontal="center" vertical="top"/>
    </xf>
    <xf numFmtId="3" fontId="4" fillId="2" borderId="7" xfId="0" applyNumberFormat="1" applyFont="1" applyFill="1" applyBorder="1" applyAlignment="1">
      <alignment horizontal="right" vertical="top"/>
    </xf>
    <xf numFmtId="0" fontId="4" fillId="2" borderId="2" xfId="0" applyFont="1" applyFill="1" applyBorder="1" applyAlignment="1">
      <alignment horizontal="left" vertical="top"/>
    </xf>
    <xf numFmtId="0" fontId="4" fillId="2" borderId="0" xfId="0" applyFont="1" applyFill="1" applyAlignment="1">
      <alignment horizontal="left" vertical="top"/>
    </xf>
    <xf numFmtId="3" fontId="4" fillId="2" borderId="7" xfId="0" applyNumberFormat="1" applyFont="1" applyFill="1" applyBorder="1" applyAlignment="1">
      <alignment horizontal="center" vertical="top" wrapText="1"/>
    </xf>
    <xf numFmtId="0" fontId="4" fillId="2" borderId="9" xfId="0" applyFont="1" applyFill="1" applyBorder="1" applyAlignment="1">
      <alignment horizontal="left" vertical="top"/>
    </xf>
    <xf numFmtId="3" fontId="4" fillId="2" borderId="9" xfId="0" applyNumberFormat="1" applyFont="1" applyFill="1" applyBorder="1" applyAlignment="1">
      <alignment horizontal="center" vertical="top" wrapText="1"/>
    </xf>
    <xf numFmtId="3" fontId="4" fillId="2" borderId="9" xfId="0" applyNumberFormat="1" applyFont="1" applyFill="1" applyBorder="1" applyAlignment="1">
      <alignment horizontal="right" vertical="top"/>
    </xf>
    <xf numFmtId="0" fontId="4" fillId="2" borderId="11" xfId="0" applyFont="1" applyFill="1" applyBorder="1" applyAlignment="1">
      <alignment horizontal="left" vertical="top"/>
    </xf>
    <xf numFmtId="0" fontId="20" fillId="2" borderId="1" xfId="0" applyFont="1" applyFill="1" applyBorder="1" applyAlignment="1">
      <alignment horizontal="center" vertical="top" wrapText="1"/>
    </xf>
    <xf numFmtId="0" fontId="22" fillId="2" borderId="1" xfId="0" applyFont="1" applyFill="1" applyBorder="1" applyAlignment="1">
      <alignment horizontal="left" vertical="top"/>
    </xf>
    <xf numFmtId="0" fontId="4" fillId="2" borderId="15" xfId="0" applyFont="1" applyFill="1" applyBorder="1" applyAlignment="1">
      <alignment vertical="top" wrapText="1"/>
    </xf>
    <xf numFmtId="0" fontId="20" fillId="2" borderId="16"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6" xfId="0" applyFont="1" applyFill="1" applyBorder="1" applyAlignment="1">
      <alignment horizontal="left" vertical="top"/>
    </xf>
    <xf numFmtId="3" fontId="4" fillId="2" borderId="16" xfId="0" applyNumberFormat="1" applyFont="1" applyFill="1" applyBorder="1" applyAlignment="1">
      <alignment horizontal="center" vertical="top" wrapText="1"/>
    </xf>
    <xf numFmtId="3" fontId="4" fillId="2" borderId="16" xfId="0" applyNumberFormat="1" applyFont="1" applyFill="1" applyBorder="1" applyAlignment="1">
      <alignment horizontal="right" vertical="top"/>
    </xf>
    <xf numFmtId="0" fontId="4" fillId="2" borderId="21" xfId="0" applyFont="1" applyFill="1" applyBorder="1" applyAlignment="1">
      <alignment horizontal="left" vertical="top"/>
    </xf>
    <xf numFmtId="0" fontId="21" fillId="2" borderId="2" xfId="0" applyFont="1" applyFill="1" applyBorder="1" applyAlignment="1">
      <alignment horizontal="center" vertical="top"/>
    </xf>
    <xf numFmtId="0" fontId="21" fillId="2" borderId="7" xfId="0" applyFont="1" applyFill="1" applyBorder="1" applyAlignment="1">
      <alignment horizontal="left" vertical="center" wrapText="1"/>
    </xf>
    <xf numFmtId="0" fontId="0" fillId="2" borderId="9" xfId="0" applyFill="1" applyBorder="1" applyAlignment="1">
      <alignment wrapText="1"/>
    </xf>
    <xf numFmtId="0" fontId="20" fillId="2" borderId="11" xfId="0" applyFont="1" applyFill="1" applyBorder="1" applyAlignment="1">
      <alignment horizontal="left" vertical="top" wrapText="1"/>
    </xf>
    <xf numFmtId="0" fontId="21" fillId="2" borderId="22" xfId="0" applyFont="1" applyFill="1" applyBorder="1" applyAlignment="1">
      <alignment horizontal="left" vertical="center"/>
    </xf>
    <xf numFmtId="0" fontId="4" fillId="2" borderId="22" xfId="0" applyFont="1" applyFill="1" applyBorder="1" applyAlignment="1">
      <alignment vertical="top" wrapText="1"/>
    </xf>
    <xf numFmtId="0" fontId="20" fillId="2" borderId="22" xfId="0" applyFont="1" applyFill="1" applyBorder="1" applyAlignment="1">
      <alignment vertical="top" wrapText="1"/>
    </xf>
    <xf numFmtId="3" fontId="20" fillId="2" borderId="22" xfId="0" applyNumberFormat="1" applyFont="1" applyFill="1" applyBorder="1" applyAlignment="1">
      <alignment horizontal="center" vertical="top" wrapText="1"/>
    </xf>
    <xf numFmtId="3" fontId="20" fillId="2" borderId="22" xfId="0" applyNumberFormat="1" applyFont="1" applyFill="1" applyBorder="1" applyAlignment="1">
      <alignment horizontal="right" vertical="top" wrapText="1"/>
    </xf>
    <xf numFmtId="0" fontId="20" fillId="2" borderId="14" xfId="0" applyFont="1" applyFill="1" applyBorder="1" applyAlignment="1">
      <alignment vertical="top" wrapText="1"/>
    </xf>
    <xf numFmtId="0" fontId="20" fillId="2" borderId="8" xfId="0" applyFont="1" applyFill="1" applyBorder="1" applyAlignment="1">
      <alignment horizontal="left" vertical="top" wrapText="1"/>
    </xf>
    <xf numFmtId="0" fontId="4" fillId="2" borderId="8" xfId="0" applyFont="1" applyFill="1" applyBorder="1" applyAlignment="1">
      <alignment vertical="top" wrapText="1"/>
    </xf>
    <xf numFmtId="0" fontId="20" fillId="2" borderId="8" xfId="0" applyFont="1" applyFill="1" applyBorder="1" applyAlignment="1">
      <alignment vertical="top" wrapText="1"/>
    </xf>
    <xf numFmtId="3" fontId="20" fillId="2" borderId="8" xfId="0" applyNumberFormat="1" applyFont="1" applyFill="1" applyBorder="1" applyAlignment="1">
      <alignment horizontal="center" vertical="top" wrapText="1"/>
    </xf>
    <xf numFmtId="3" fontId="20" fillId="2" borderId="8" xfId="0" applyNumberFormat="1" applyFont="1" applyFill="1" applyBorder="1" applyAlignment="1">
      <alignment horizontal="right" vertical="top" wrapText="1"/>
    </xf>
    <xf numFmtId="0" fontId="0" fillId="2" borderId="8" xfId="0" applyFont="1" applyFill="1" applyBorder="1" applyAlignment="1"/>
    <xf numFmtId="0" fontId="8" fillId="2" borderId="7" xfId="0" applyFont="1" applyFill="1" applyBorder="1" applyAlignment="1">
      <alignment horizontal="center" vertical="center" wrapText="1"/>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25" fillId="2" borderId="8" xfId="0" quotePrefix="1" applyFont="1" applyFill="1" applyBorder="1" applyAlignment="1">
      <alignment horizontal="center" vertical="center"/>
    </xf>
    <xf numFmtId="0" fontId="25" fillId="2" borderId="9" xfId="0" applyFont="1" applyFill="1" applyBorder="1" applyAlignment="1">
      <alignment horizontal="center" vertical="center"/>
    </xf>
    <xf numFmtId="0" fontId="20" fillId="2" borderId="7" xfId="0" quotePrefix="1" applyFont="1" applyFill="1" applyBorder="1" applyAlignment="1">
      <alignment horizontal="left" vertical="center" wrapText="1"/>
    </xf>
    <xf numFmtId="0" fontId="20" fillId="2" borderId="7" xfId="0" quotePrefix="1" applyFont="1" applyFill="1" applyBorder="1" applyAlignment="1">
      <alignment horizontal="center" vertical="center" wrapText="1"/>
    </xf>
    <xf numFmtId="0" fontId="20" fillId="2" borderId="6" xfId="0" applyFont="1" applyFill="1" applyBorder="1" applyAlignment="1">
      <alignment horizontal="center" vertical="center"/>
    </xf>
    <xf numFmtId="0" fontId="25" fillId="2" borderId="6" xfId="0" applyFont="1" applyFill="1" applyBorder="1" applyAlignment="1">
      <alignment horizontal="center" vertical="center" wrapText="1"/>
    </xf>
    <xf numFmtId="0" fontId="20" fillId="2" borderId="6" xfId="0" quotePrefix="1" applyFont="1" applyFill="1" applyBorder="1" applyAlignment="1">
      <alignment horizontal="center" vertical="center" wrapText="1"/>
    </xf>
    <xf numFmtId="0" fontId="25" fillId="2" borderId="7" xfId="0" applyFont="1" applyFill="1" applyBorder="1" applyAlignment="1">
      <alignment horizontal="center" vertical="center" wrapText="1"/>
    </xf>
    <xf numFmtId="0" fontId="20" fillId="2" borderId="3" xfId="0" quotePrefix="1"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7" xfId="0" applyFont="1" applyFill="1" applyBorder="1" applyAlignment="1">
      <alignment horizontal="left" vertical="center" wrapText="1"/>
    </xf>
    <xf numFmtId="0" fontId="25" fillId="2" borderId="7" xfId="0" quotePrefix="1" applyFont="1" applyFill="1" applyBorder="1" applyAlignment="1">
      <alignment horizontal="left" vertical="center" wrapText="1"/>
    </xf>
    <xf numFmtId="0" fontId="20" fillId="2" borderId="3" xfId="0" applyFont="1" applyFill="1" applyBorder="1" applyAlignment="1">
      <alignment horizontal="center" vertical="center" wrapText="1"/>
    </xf>
    <xf numFmtId="0" fontId="25" fillId="3" borderId="7" xfId="0" applyFont="1" applyFill="1" applyBorder="1" applyAlignment="1">
      <alignment horizontal="left" vertical="center" wrapText="1"/>
    </xf>
    <xf numFmtId="0" fontId="20" fillId="2" borderId="8" xfId="0" applyFont="1" applyFill="1" applyBorder="1"/>
    <xf numFmtId="0" fontId="0" fillId="2" borderId="8" xfId="0" applyFill="1" applyBorder="1"/>
    <xf numFmtId="0" fontId="6" fillId="2" borderId="8" xfId="0" applyFont="1" applyFill="1" applyBorder="1"/>
    <xf numFmtId="3" fontId="6" fillId="2" borderId="8" xfId="0" applyNumberFormat="1" applyFont="1" applyFill="1" applyBorder="1"/>
    <xf numFmtId="0" fontId="4" fillId="2" borderId="0" xfId="0" applyFont="1" applyFill="1"/>
    <xf numFmtId="0" fontId="4" fillId="2" borderId="8" xfId="0" applyFont="1" applyFill="1" applyBorder="1" applyAlignment="1">
      <alignment horizontal="center" vertical="top"/>
    </xf>
    <xf numFmtId="49" fontId="4" fillId="2" borderId="8" xfId="7" applyNumberFormat="1"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5" xfId="0" applyFont="1" applyFill="1" applyBorder="1" applyAlignment="1">
      <alignment horizontal="center" vertical="top" wrapText="1"/>
    </xf>
    <xf numFmtId="3" fontId="4" fillId="2" borderId="8" xfId="0" applyNumberFormat="1" applyFont="1" applyFill="1" applyBorder="1" applyAlignment="1">
      <alignment horizontal="left" vertical="top" wrapText="1"/>
    </xf>
    <xf numFmtId="3" fontId="4" fillId="2" borderId="8" xfId="0" applyNumberFormat="1" applyFont="1" applyFill="1" applyBorder="1" applyAlignment="1">
      <alignment horizontal="right" vertical="top" wrapText="1"/>
    </xf>
    <xf numFmtId="0" fontId="4" fillId="2" borderId="8" xfId="0" applyFont="1" applyFill="1" applyBorder="1" applyAlignment="1">
      <alignment vertical="top"/>
    </xf>
    <xf numFmtId="0" fontId="18" fillId="2" borderId="9" xfId="0" applyFont="1" applyFill="1" applyBorder="1" applyAlignment="1">
      <alignment horizontal="center" vertical="center" wrapText="1"/>
    </xf>
    <xf numFmtId="0" fontId="22" fillId="2" borderId="9" xfId="0" applyFont="1" applyFill="1" applyBorder="1" applyAlignment="1">
      <alignment horizontal="center" vertical="center"/>
    </xf>
    <xf numFmtId="0" fontId="26" fillId="2" borderId="9" xfId="0" applyFont="1" applyFill="1" applyBorder="1" applyAlignment="1">
      <alignment vertical="center" wrapText="1"/>
    </xf>
    <xf numFmtId="0" fontId="26" fillId="2" borderId="9" xfId="0" applyFont="1" applyFill="1" applyBorder="1" applyAlignment="1">
      <alignment horizontal="left" vertical="top" wrapText="1"/>
    </xf>
    <xf numFmtId="0" fontId="22" fillId="2" borderId="9" xfId="0" applyFont="1" applyFill="1" applyBorder="1" applyAlignment="1">
      <alignment vertical="center"/>
    </xf>
    <xf numFmtId="0" fontId="4" fillId="2" borderId="9" xfId="0" applyFont="1" applyFill="1" applyBorder="1" applyAlignment="1">
      <alignment horizontal="center" vertical="center" wrapText="1"/>
    </xf>
    <xf numFmtId="0" fontId="4" fillId="2" borderId="9" xfId="0" applyFont="1" applyFill="1" applyBorder="1" applyAlignment="1">
      <alignment horizontal="left" vertical="center" wrapText="1"/>
    </xf>
    <xf numFmtId="164" fontId="4" fillId="2" borderId="9" xfId="2" applyFont="1" applyFill="1" applyBorder="1" applyAlignment="1">
      <alignment horizontal="center" vertical="center" wrapText="1"/>
    </xf>
    <xf numFmtId="164" fontId="18" fillId="2" borderId="9" xfId="2" applyFont="1" applyFill="1" applyBorder="1" applyAlignment="1">
      <alignment vertical="center"/>
    </xf>
    <xf numFmtId="164" fontId="18" fillId="2" borderId="28" xfId="2" applyFont="1" applyFill="1" applyBorder="1" applyAlignment="1">
      <alignment horizontal="left" vertical="center"/>
    </xf>
    <xf numFmtId="0" fontId="22" fillId="2" borderId="9" xfId="9" applyFont="1" applyFill="1" applyBorder="1" applyAlignment="1">
      <alignment horizontal="center" vertical="center"/>
    </xf>
    <xf numFmtId="20" fontId="22" fillId="2" borderId="9" xfId="9" quotePrefix="1" applyNumberFormat="1" applyFont="1" applyFill="1" applyBorder="1" applyAlignment="1">
      <alignment horizontal="center" vertical="center"/>
    </xf>
    <xf numFmtId="0" fontId="26" fillId="2" borderId="9" xfId="9" applyFont="1" applyFill="1" applyBorder="1" applyAlignment="1">
      <alignment horizontal="left" vertical="top" wrapText="1"/>
    </xf>
    <xf numFmtId="0" fontId="22" fillId="2" borderId="9" xfId="9" applyFont="1" applyFill="1" applyBorder="1" applyAlignment="1">
      <alignment vertical="center" wrapText="1"/>
    </xf>
    <xf numFmtId="0" fontId="22" fillId="2" borderId="9" xfId="9" applyFont="1" applyFill="1" applyBorder="1" applyAlignment="1">
      <alignment vertical="center"/>
    </xf>
    <xf numFmtId="0" fontId="4" fillId="2" borderId="9" xfId="9" applyFont="1" applyFill="1" applyBorder="1" applyAlignment="1">
      <alignment horizontal="center" vertical="center" wrapText="1"/>
    </xf>
    <xf numFmtId="0" fontId="22" fillId="2" borderId="9" xfId="9" applyFont="1" applyFill="1" applyBorder="1" applyAlignment="1">
      <alignment horizontal="left" vertical="center" wrapText="1"/>
    </xf>
    <xf numFmtId="164" fontId="22" fillId="2" borderId="9" xfId="10" applyFont="1" applyFill="1" applyBorder="1" applyAlignment="1">
      <alignment vertical="center"/>
    </xf>
    <xf numFmtId="0" fontId="22" fillId="2" borderId="28" xfId="9" applyFont="1" applyFill="1" applyBorder="1" applyAlignment="1">
      <alignment horizontal="left" vertical="center"/>
    </xf>
    <xf numFmtId="0" fontId="4" fillId="2" borderId="8" xfId="9" applyFont="1" applyFill="1"/>
    <xf numFmtId="0" fontId="26" fillId="2" borderId="9" xfId="9" applyFont="1" applyFill="1" applyBorder="1" applyAlignment="1">
      <alignment horizontal="left" vertical="center" wrapText="1"/>
    </xf>
    <xf numFmtId="0" fontId="4" fillId="2" borderId="9" xfId="9" applyFont="1" applyFill="1" applyBorder="1" applyAlignment="1">
      <alignment horizontal="left" vertical="center"/>
    </xf>
    <xf numFmtId="164" fontId="4" fillId="2" borderId="9" xfId="10" applyFont="1" applyFill="1" applyBorder="1" applyAlignment="1"/>
    <xf numFmtId="3" fontId="22" fillId="2" borderId="28" xfId="9" applyNumberFormat="1" applyFont="1" applyFill="1" applyBorder="1" applyAlignment="1">
      <alignment horizontal="left" vertical="center"/>
    </xf>
    <xf numFmtId="0" fontId="4" fillId="2" borderId="9" xfId="9" applyFont="1" applyFill="1" applyBorder="1" applyAlignment="1">
      <alignment vertical="center" wrapText="1"/>
    </xf>
    <xf numFmtId="0" fontId="4" fillId="2" borderId="9" xfId="9" applyFont="1" applyFill="1" applyBorder="1" applyAlignment="1">
      <alignment horizontal="left" vertical="center" wrapText="1"/>
    </xf>
    <xf numFmtId="0" fontId="4" fillId="2" borderId="9" xfId="9" applyFont="1" applyFill="1" applyBorder="1" applyAlignment="1">
      <alignment vertical="center"/>
    </xf>
    <xf numFmtId="164" fontId="4" fillId="2" borderId="9" xfId="10" applyFont="1" applyFill="1" applyBorder="1" applyAlignment="1">
      <alignment vertical="center"/>
    </xf>
    <xf numFmtId="0" fontId="4" fillId="2" borderId="28" xfId="9" applyFont="1" applyFill="1" applyBorder="1" applyAlignment="1">
      <alignment horizontal="left" vertical="center" wrapText="1"/>
    </xf>
    <xf numFmtId="0" fontId="4" fillId="2" borderId="9" xfId="9" applyFont="1" applyFill="1" applyBorder="1" applyAlignment="1">
      <alignment horizontal="center" vertical="top" wrapText="1"/>
    </xf>
    <xf numFmtId="0" fontId="22" fillId="2" borderId="9" xfId="9" quotePrefix="1" applyFont="1" applyFill="1" applyBorder="1" applyAlignment="1">
      <alignment horizontal="center" vertical="center"/>
    </xf>
    <xf numFmtId="164" fontId="4" fillId="2" borderId="9" xfId="10" applyFont="1" applyFill="1" applyBorder="1" applyAlignment="1">
      <alignment vertical="center" wrapText="1"/>
    </xf>
    <xf numFmtId="0" fontId="26" fillId="2" borderId="9" xfId="9" applyFont="1" applyFill="1" applyBorder="1" applyAlignment="1">
      <alignment vertical="center" wrapText="1"/>
    </xf>
    <xf numFmtId="0" fontId="22" fillId="2" borderId="9" xfId="9" applyFont="1" applyFill="1" applyBorder="1" applyAlignment="1">
      <alignment horizontal="left" vertical="top" wrapText="1"/>
    </xf>
    <xf numFmtId="0" fontId="4" fillId="2" borderId="9" xfId="9" applyFont="1" applyFill="1" applyBorder="1" applyAlignment="1">
      <alignment horizontal="center" vertical="center"/>
    </xf>
    <xf numFmtId="0" fontId="4" fillId="2" borderId="9" xfId="9" applyFont="1" applyFill="1" applyBorder="1" applyAlignment="1">
      <alignment horizontal="left" vertical="top" wrapText="1"/>
    </xf>
    <xf numFmtId="0" fontId="4" fillId="2" borderId="28" xfId="9" applyFont="1" applyFill="1" applyBorder="1" applyAlignment="1">
      <alignment horizontal="left" vertical="center"/>
    </xf>
    <xf numFmtId="0" fontId="26" fillId="2" borderId="13" xfId="9" applyFont="1" applyFill="1" applyBorder="1" applyAlignment="1">
      <alignment horizontal="left" vertical="center" wrapText="1"/>
    </xf>
    <xf numFmtId="0" fontId="4" fillId="2" borderId="8" xfId="9" applyFont="1" applyFill="1" applyAlignment="1">
      <alignment vertical="top"/>
    </xf>
    <xf numFmtId="0" fontId="22" fillId="2" borderId="28" xfId="9" applyFont="1" applyFill="1" applyBorder="1" applyAlignment="1">
      <alignment horizontal="left" vertical="center" wrapText="1"/>
    </xf>
    <xf numFmtId="164" fontId="22" fillId="2" borderId="9" xfId="10" applyFont="1" applyFill="1" applyBorder="1" applyAlignment="1">
      <alignment horizontal="center" vertical="center" wrapText="1"/>
    </xf>
    <xf numFmtId="164" fontId="22" fillId="2" borderId="9" xfId="10" applyFont="1" applyFill="1" applyBorder="1" applyAlignment="1">
      <alignment horizontal="left" vertical="center" wrapText="1"/>
    </xf>
    <xf numFmtId="164" fontId="22" fillId="2" borderId="9" xfId="10" applyFont="1" applyFill="1" applyBorder="1" applyAlignment="1">
      <alignment vertical="center" wrapText="1"/>
    </xf>
    <xf numFmtId="164" fontId="22" fillId="2" borderId="28" xfId="10" applyFont="1" applyFill="1" applyBorder="1" applyAlignment="1">
      <alignment horizontal="left" vertical="center" wrapText="1"/>
    </xf>
    <xf numFmtId="0" fontId="22" fillId="2" borderId="9" xfId="9" applyFont="1" applyFill="1" applyBorder="1" applyAlignment="1">
      <alignment horizontal="center" vertical="center" wrapText="1"/>
    </xf>
    <xf numFmtId="164" fontId="22" fillId="2" borderId="9" xfId="10" applyFont="1" applyFill="1" applyBorder="1" applyAlignment="1">
      <alignment horizontal="center" vertical="center"/>
    </xf>
    <xf numFmtId="20" fontId="22" fillId="2" borderId="9" xfId="9" applyNumberFormat="1" applyFont="1" applyFill="1" applyBorder="1" applyAlignment="1">
      <alignment horizontal="center" vertical="center"/>
    </xf>
    <xf numFmtId="0" fontId="4" fillId="2" borderId="9" xfId="9" applyFont="1" applyFill="1" applyBorder="1"/>
    <xf numFmtId="164" fontId="4" fillId="2" borderId="9" xfId="10" applyFont="1" applyFill="1" applyBorder="1" applyAlignment="1">
      <alignment horizontal="right" vertical="center"/>
    </xf>
    <xf numFmtId="0" fontId="26" fillId="2" borderId="16" xfId="9" applyFont="1" applyFill="1" applyBorder="1" applyAlignment="1">
      <alignment horizontal="left" vertical="center" wrapText="1"/>
    </xf>
    <xf numFmtId="0" fontId="22" fillId="2" borderId="16" xfId="9" applyFont="1" applyFill="1" applyBorder="1" applyAlignment="1">
      <alignment vertical="center"/>
    </xf>
    <xf numFmtId="0" fontId="22" fillId="2" borderId="14" xfId="9" applyFont="1" applyFill="1" applyBorder="1" applyAlignment="1">
      <alignment vertical="center"/>
    </xf>
    <xf numFmtId="164" fontId="22" fillId="2" borderId="16" xfId="10" applyFont="1" applyFill="1" applyBorder="1" applyAlignment="1">
      <alignment vertical="center"/>
    </xf>
    <xf numFmtId="0" fontId="22" fillId="2" borderId="9" xfId="9" applyFont="1" applyFill="1" applyBorder="1" applyAlignment="1">
      <alignment horizontal="left" vertical="center"/>
    </xf>
    <xf numFmtId="164" fontId="4" fillId="2" borderId="9" xfId="10" applyFont="1" applyFill="1" applyBorder="1" applyAlignment="1">
      <alignment horizontal="center"/>
    </xf>
    <xf numFmtId="164" fontId="42" fillId="2" borderId="9" xfId="9" applyNumberFormat="1" applyFont="1" applyFill="1" applyBorder="1" applyAlignment="1">
      <alignment vertical="center"/>
    </xf>
    <xf numFmtId="0" fontId="26" fillId="2" borderId="28" xfId="9" applyFont="1" applyFill="1" applyBorder="1" applyAlignment="1">
      <alignment horizontal="left"/>
    </xf>
    <xf numFmtId="0" fontId="22" fillId="2" borderId="16" xfId="9" applyFont="1" applyFill="1" applyBorder="1" applyAlignment="1">
      <alignment horizontal="center" vertical="center"/>
    </xf>
    <xf numFmtId="0" fontId="22" fillId="2" borderId="9" xfId="9" applyFont="1" applyFill="1" applyBorder="1" applyAlignment="1">
      <alignment vertical="top" wrapText="1"/>
    </xf>
    <xf numFmtId="164" fontId="26" fillId="2" borderId="9" xfId="10" applyFont="1" applyFill="1" applyBorder="1"/>
    <xf numFmtId="164" fontId="4" fillId="2" borderId="9" xfId="10" quotePrefix="1" applyFont="1" applyFill="1" applyBorder="1" applyAlignment="1">
      <alignment horizontal="center" vertical="center"/>
    </xf>
    <xf numFmtId="164" fontId="4" fillId="2" borderId="9" xfId="10" applyFont="1" applyFill="1" applyBorder="1" applyAlignment="1">
      <alignment horizontal="center" vertical="center"/>
    </xf>
    <xf numFmtId="164" fontId="4" fillId="2" borderId="9" xfId="10" applyFont="1" applyFill="1" applyBorder="1" applyAlignment="1">
      <alignment horizontal="left" vertical="center"/>
    </xf>
    <xf numFmtId="164" fontId="4" fillId="2" borderId="9" xfId="10" applyFont="1" applyFill="1" applyBorder="1" applyAlignment="1">
      <alignment horizontal="center" vertical="center" wrapText="1"/>
    </xf>
    <xf numFmtId="164" fontId="4" fillId="2" borderId="28" xfId="10" applyFont="1" applyFill="1" applyBorder="1" applyAlignment="1">
      <alignment horizontal="left" vertical="center"/>
    </xf>
    <xf numFmtId="164" fontId="22" fillId="2" borderId="9" xfId="10" quotePrefix="1" applyFont="1" applyFill="1" applyBorder="1" applyAlignment="1">
      <alignment horizontal="center" vertical="center" wrapText="1"/>
    </xf>
    <xf numFmtId="164" fontId="22" fillId="2" borderId="28" xfId="10" applyFont="1" applyFill="1" applyBorder="1" applyAlignment="1">
      <alignment horizontal="left" vertical="center"/>
    </xf>
    <xf numFmtId="0" fontId="26" fillId="2" borderId="9" xfId="9" quotePrefix="1" applyFont="1" applyFill="1" applyBorder="1" applyAlignment="1">
      <alignment horizontal="center" vertical="center"/>
    </xf>
    <xf numFmtId="0" fontId="26" fillId="2" borderId="9" xfId="9" applyFont="1" applyFill="1" applyBorder="1" applyAlignment="1">
      <alignment vertical="center"/>
    </xf>
    <xf numFmtId="0" fontId="26" fillId="2" borderId="9" xfId="9" applyFont="1" applyFill="1" applyBorder="1" applyAlignment="1">
      <alignment wrapText="1"/>
    </xf>
    <xf numFmtId="164" fontId="26" fillId="2" borderId="9" xfId="10" applyFont="1" applyFill="1" applyBorder="1" applyAlignment="1">
      <alignment vertical="center"/>
    </xf>
    <xf numFmtId="3" fontId="22" fillId="2" borderId="28" xfId="9" applyNumberFormat="1" applyFont="1" applyFill="1" applyBorder="1" applyAlignment="1">
      <alignment horizontal="left" vertical="center" wrapText="1"/>
    </xf>
    <xf numFmtId="0" fontId="26" fillId="2" borderId="9" xfId="9" applyFont="1" applyFill="1" applyBorder="1" applyAlignment="1">
      <alignment horizontal="center" vertical="center" wrapText="1"/>
    </xf>
    <xf numFmtId="0" fontId="4" fillId="2" borderId="9" xfId="11" applyFont="1" applyFill="1" applyBorder="1" applyAlignment="1">
      <alignment vertical="center" wrapText="1"/>
    </xf>
    <xf numFmtId="0" fontId="4" fillId="2" borderId="9" xfId="11" applyFont="1" applyFill="1" applyBorder="1" applyAlignment="1">
      <alignment horizontal="center" vertical="center"/>
    </xf>
    <xf numFmtId="164" fontId="4" fillId="2" borderId="9" xfId="10" applyFont="1" applyFill="1" applyBorder="1"/>
    <xf numFmtId="3" fontId="22" fillId="2" borderId="9" xfId="9" applyNumberFormat="1" applyFont="1" applyFill="1" applyBorder="1" applyAlignment="1">
      <alignment horizontal="right" vertical="center"/>
    </xf>
    <xf numFmtId="0" fontId="22" fillId="2" borderId="28" xfId="9" quotePrefix="1" applyFont="1" applyFill="1" applyBorder="1" applyAlignment="1">
      <alignment horizontal="left" vertical="center" wrapText="1"/>
    </xf>
    <xf numFmtId="0" fontId="26" fillId="2" borderId="9" xfId="9" applyFont="1" applyFill="1" applyBorder="1" applyAlignment="1">
      <alignment horizontal="center" vertical="center"/>
    </xf>
    <xf numFmtId="0" fontId="4" fillId="2" borderId="9" xfId="9" quotePrefix="1" applyFont="1" applyFill="1" applyBorder="1" applyAlignment="1">
      <alignment horizontal="center" vertical="center"/>
    </xf>
    <xf numFmtId="0" fontId="4" fillId="2" borderId="8" xfId="9" applyFont="1" applyFill="1" applyAlignment="1">
      <alignment vertical="center"/>
    </xf>
    <xf numFmtId="0" fontId="26" fillId="2" borderId="9" xfId="9" quotePrefix="1" applyFont="1" applyFill="1" applyBorder="1" applyAlignment="1">
      <alignment horizontal="center" vertical="center" wrapText="1"/>
    </xf>
    <xf numFmtId="0" fontId="22" fillId="2" borderId="28" xfId="9" quotePrefix="1" applyFont="1" applyFill="1" applyBorder="1" applyAlignment="1">
      <alignment horizontal="left" vertical="center"/>
    </xf>
    <xf numFmtId="0" fontId="4" fillId="2" borderId="9" xfId="9" quotePrefix="1" applyFont="1" applyFill="1" applyBorder="1" applyAlignment="1">
      <alignment horizontal="center" vertical="center" wrapText="1"/>
    </xf>
    <xf numFmtId="0" fontId="4" fillId="2" borderId="9" xfId="9" quotePrefix="1" applyFont="1" applyFill="1" applyBorder="1" applyAlignment="1">
      <alignment horizontal="center" vertical="top" wrapText="1"/>
    </xf>
    <xf numFmtId="0" fontId="4" fillId="2" borderId="9" xfId="9" applyFont="1" applyFill="1" applyBorder="1" applyAlignment="1">
      <alignment wrapText="1"/>
    </xf>
    <xf numFmtId="0" fontId="26" fillId="2" borderId="13" xfId="9" applyFont="1" applyFill="1" applyBorder="1" applyAlignment="1">
      <alignment horizontal="left" vertical="top" wrapText="1"/>
    </xf>
    <xf numFmtId="0" fontId="22" fillId="2" borderId="9" xfId="11" applyFont="1" applyFill="1" applyBorder="1" applyAlignment="1">
      <alignment horizontal="left" vertical="center" wrapText="1"/>
    </xf>
    <xf numFmtId="164" fontId="4" fillId="2" borderId="8" xfId="10" applyFont="1" applyFill="1" applyBorder="1" applyAlignment="1">
      <alignment horizontal="center" vertical="center"/>
    </xf>
    <xf numFmtId="0" fontId="22" fillId="2" borderId="16" xfId="9" applyFont="1" applyFill="1" applyBorder="1" applyAlignment="1">
      <alignment vertical="center" wrapText="1"/>
    </xf>
    <xf numFmtId="0" fontId="22" fillId="2" borderId="16" xfId="9" applyFont="1" applyFill="1" applyBorder="1" applyAlignment="1">
      <alignment horizontal="left" vertical="center" wrapText="1"/>
    </xf>
    <xf numFmtId="164" fontId="4" fillId="2" borderId="16" xfId="10" applyFont="1" applyFill="1" applyBorder="1" applyAlignment="1"/>
    <xf numFmtId="20" fontId="4" fillId="2" borderId="9" xfId="9" applyNumberFormat="1" applyFont="1" applyFill="1" applyBorder="1" applyAlignment="1">
      <alignment horizontal="center" vertical="top"/>
    </xf>
    <xf numFmtId="0" fontId="4" fillId="2" borderId="9" xfId="9" applyFont="1" applyFill="1" applyBorder="1" applyAlignment="1">
      <alignment vertical="top" wrapText="1"/>
    </xf>
    <xf numFmtId="0" fontId="4" fillId="2" borderId="9" xfId="9" applyFont="1" applyFill="1" applyBorder="1" applyAlignment="1">
      <alignment vertical="top"/>
    </xf>
    <xf numFmtId="0" fontId="4" fillId="2" borderId="9" xfId="9" applyFont="1" applyFill="1" applyBorder="1" applyAlignment="1">
      <alignment horizontal="center" vertical="top"/>
    </xf>
    <xf numFmtId="0" fontId="4" fillId="2" borderId="9" xfId="9" applyFont="1" applyFill="1" applyBorder="1" applyAlignment="1">
      <alignment horizontal="left" vertical="top"/>
    </xf>
    <xf numFmtId="164" fontId="4" fillId="2" borderId="9" xfId="10" applyFont="1" applyFill="1" applyBorder="1" applyAlignment="1">
      <alignment vertical="top"/>
    </xf>
    <xf numFmtId="46" fontId="22" fillId="2" borderId="9" xfId="9" quotePrefix="1" applyNumberFormat="1" applyFont="1" applyFill="1" applyBorder="1" applyAlignment="1">
      <alignment horizontal="center" vertical="center"/>
    </xf>
    <xf numFmtId="0" fontId="22" fillId="2" borderId="13" xfId="9" quotePrefix="1" applyFont="1" applyFill="1" applyBorder="1" applyAlignment="1">
      <alignment horizontal="center" vertical="center"/>
    </xf>
    <xf numFmtId="0" fontId="22" fillId="2" borderId="8" xfId="9" applyFont="1" applyFill="1" applyBorder="1" applyAlignment="1">
      <alignment horizontal="center" vertical="center"/>
    </xf>
    <xf numFmtId="0" fontId="4" fillId="2" borderId="8" xfId="9" quotePrefix="1" applyFont="1" applyFill="1" applyBorder="1" applyAlignment="1">
      <alignment horizontal="center" vertical="center"/>
    </xf>
    <xf numFmtId="0" fontId="26" fillId="2" borderId="8" xfId="9" applyFont="1" applyFill="1" applyBorder="1" applyAlignment="1">
      <alignment horizontal="left" vertical="center" wrapText="1"/>
    </xf>
    <xf numFmtId="0" fontId="4" fillId="2" borderId="8" xfId="9" applyFont="1" applyFill="1" applyBorder="1" applyAlignment="1">
      <alignment vertical="center" wrapText="1"/>
    </xf>
    <xf numFmtId="0" fontId="4" fillId="2" borderId="8" xfId="9" applyFont="1" applyFill="1" applyBorder="1" applyAlignment="1">
      <alignment horizontal="center" vertical="center" wrapText="1"/>
    </xf>
    <xf numFmtId="0" fontId="4" fillId="2" borderId="8" xfId="9" applyFont="1" applyFill="1" applyBorder="1" applyAlignment="1">
      <alignment horizontal="left" vertical="center" wrapText="1"/>
    </xf>
    <xf numFmtId="164" fontId="38" fillId="2" borderId="13" xfId="0" applyNumberFormat="1" applyFont="1" applyFill="1" applyBorder="1"/>
    <xf numFmtId="0" fontId="22" fillId="2" borderId="29" xfId="9" applyFont="1" applyFill="1" applyBorder="1" applyAlignment="1">
      <alignment horizontal="left" vertical="center" wrapText="1"/>
    </xf>
    <xf numFmtId="164" fontId="41" fillId="2" borderId="9" xfId="10" applyFont="1" applyFill="1" applyBorder="1" applyAlignment="1">
      <alignment vertical="center"/>
    </xf>
    <xf numFmtId="0" fontId="41" fillId="2" borderId="28" xfId="9" applyFont="1" applyFill="1" applyBorder="1" applyAlignment="1">
      <alignment horizontal="left" vertical="center"/>
    </xf>
    <xf numFmtId="0" fontId="37" fillId="2" borderId="8" xfId="9" applyFont="1" applyFill="1"/>
    <xf numFmtId="164" fontId="4" fillId="2" borderId="9" xfId="10" applyFont="1" applyFill="1" applyBorder="1" applyAlignment="1">
      <alignment horizontal="center" vertical="top"/>
    </xf>
    <xf numFmtId="0" fontId="40" fillId="2" borderId="8" xfId="9" applyFont="1" applyFill="1"/>
    <xf numFmtId="0" fontId="37" fillId="2" borderId="8" xfId="9" applyFont="1" applyFill="1" applyAlignment="1">
      <alignment vertical="top"/>
    </xf>
    <xf numFmtId="0" fontId="26" fillId="2" borderId="9" xfId="9" applyFont="1" applyFill="1" applyBorder="1" applyAlignment="1">
      <alignment horizontal="left" vertical="center"/>
    </xf>
    <xf numFmtId="164" fontId="4" fillId="2" borderId="9" xfId="10" applyFont="1" applyFill="1" applyBorder="1" applyAlignment="1">
      <alignment vertical="top" wrapText="1"/>
    </xf>
    <xf numFmtId="0" fontId="37" fillId="2" borderId="8" xfId="9" applyFont="1" applyFill="1" applyAlignment="1">
      <alignment vertical="center"/>
    </xf>
    <xf numFmtId="0" fontId="37" fillId="2" borderId="8" xfId="9" applyFont="1" applyFill="1" applyAlignment="1">
      <alignment horizontal="left" vertical="center"/>
    </xf>
    <xf numFmtId="0" fontId="22" fillId="2" borderId="9" xfId="9" quotePrefix="1" applyFont="1" applyFill="1" applyBorder="1" applyAlignment="1">
      <alignment horizontal="center" vertical="center" wrapText="1"/>
    </xf>
    <xf numFmtId="3" fontId="4" fillId="2" borderId="28" xfId="9" applyNumberFormat="1" applyFont="1" applyFill="1" applyBorder="1" applyAlignment="1">
      <alignment horizontal="left" vertical="center" wrapText="1"/>
    </xf>
    <xf numFmtId="0" fontId="22" fillId="2" borderId="9" xfId="9" applyFont="1" applyFill="1" applyBorder="1" applyAlignment="1">
      <alignment vertical="top"/>
    </xf>
    <xf numFmtId="0" fontId="41" fillId="2" borderId="9" xfId="9" applyFont="1" applyFill="1" applyBorder="1" applyAlignment="1">
      <alignment horizontal="center" vertical="center"/>
    </xf>
    <xf numFmtId="0" fontId="40" fillId="2" borderId="8" xfId="9" applyFont="1" applyFill="1" applyAlignment="1">
      <alignment vertical="top"/>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3" fillId="0" borderId="7" xfId="0" applyFont="1" applyBorder="1" applyAlignment="1">
      <alignment horizontal="center" vertical="center" wrapText="1"/>
    </xf>
    <xf numFmtId="3" fontId="3" fillId="0" borderId="9" xfId="0" applyNumberFormat="1" applyFont="1" applyBorder="1" applyAlignment="1">
      <alignment horizontal="right" vertical="center" wrapText="1"/>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8" xfId="12"/>
    <xf numFmtId="0" fontId="37" fillId="0" borderId="8" xfId="12" applyFont="1" applyAlignment="1">
      <alignment horizontal="center" vertical="center" wrapText="1"/>
    </xf>
    <xf numFmtId="0" fontId="37" fillId="0" borderId="8" xfId="12" applyFont="1" applyAlignment="1">
      <alignment horizontal="center"/>
    </xf>
    <xf numFmtId="0" fontId="37" fillId="0" borderId="30" xfId="12" applyFont="1" applyBorder="1" applyAlignment="1">
      <alignment horizontal="center" vertical="center" wrapText="1"/>
    </xf>
    <xf numFmtId="0" fontId="37" fillId="0" borderId="30" xfId="12" applyFont="1" applyBorder="1" applyAlignment="1">
      <alignment vertical="top" wrapText="1"/>
    </xf>
    <xf numFmtId="0" fontId="37" fillId="0" borderId="30" xfId="12" applyFont="1" applyBorder="1" applyAlignment="1">
      <alignment horizontal="left" vertical="center" wrapText="1"/>
    </xf>
    <xf numFmtId="3" fontId="37" fillId="0" borderId="30" xfId="12" applyNumberFormat="1" applyFont="1" applyBorder="1" applyAlignment="1">
      <alignment horizontal="right" vertical="center" wrapText="1"/>
    </xf>
    <xf numFmtId="0" fontId="53" fillId="0" borderId="30" xfId="12" applyFont="1" applyBorder="1" applyAlignment="1">
      <alignment horizontal="right"/>
    </xf>
    <xf numFmtId="0" fontId="49" fillId="0" borderId="9" xfId="12" applyFont="1" applyBorder="1" applyAlignment="1">
      <alignment horizontal="center" vertical="center" wrapText="1"/>
    </xf>
    <xf numFmtId="3" fontId="49" fillId="0" borderId="9" xfId="12" applyNumberFormat="1" applyFont="1" applyBorder="1" applyAlignment="1">
      <alignment horizontal="center" vertical="center" wrapText="1"/>
    </xf>
    <xf numFmtId="49" fontId="55" fillId="0" borderId="9" xfId="12" quotePrefix="1" applyNumberFormat="1" applyFont="1" applyBorder="1" applyAlignment="1">
      <alignment horizontal="center" vertical="center" wrapText="1"/>
    </xf>
    <xf numFmtId="49" fontId="55" fillId="0" borderId="9" xfId="12" quotePrefix="1" applyNumberFormat="1" applyFont="1" applyBorder="1" applyAlignment="1">
      <alignment horizontal="center" vertical="center"/>
    </xf>
    <xf numFmtId="0" fontId="50" fillId="0" borderId="8" xfId="12" applyFont="1" applyAlignment="1">
      <alignment horizontal="center" vertical="center"/>
    </xf>
    <xf numFmtId="41" fontId="56" fillId="7" borderId="11" xfId="13" applyFont="1" applyFill="1" applyBorder="1" applyAlignment="1">
      <alignment horizontal="center" vertical="center" wrapText="1"/>
    </xf>
    <xf numFmtId="0" fontId="57" fillId="0" borderId="9" xfId="12" applyFont="1" applyBorder="1" applyAlignment="1">
      <alignment horizontal="left" vertical="center" wrapText="1"/>
    </xf>
    <xf numFmtId="0" fontId="57" fillId="0" borderId="9" xfId="12" applyFont="1" applyBorder="1" applyAlignment="1">
      <alignment horizontal="center" vertical="center" wrapText="1"/>
    </xf>
    <xf numFmtId="3" fontId="57" fillId="0" borderId="9" xfId="12" applyNumberFormat="1" applyFont="1" applyBorder="1" applyAlignment="1">
      <alignment horizontal="right" vertical="center" wrapText="1"/>
    </xf>
    <xf numFmtId="0" fontId="57" fillId="0" borderId="9" xfId="12" applyFont="1" applyBorder="1" applyAlignment="1">
      <alignment vertical="center"/>
    </xf>
    <xf numFmtId="49" fontId="49" fillId="0" borderId="9" xfId="12" applyNumberFormat="1" applyFont="1" applyBorder="1" applyAlignment="1">
      <alignment horizontal="center" vertical="center" wrapText="1"/>
    </xf>
    <xf numFmtId="0" fontId="49" fillId="0" borderId="9" xfId="12" applyFont="1" applyBorder="1" applyAlignment="1">
      <alignment vertical="center" wrapText="1"/>
    </xf>
    <xf numFmtId="0" fontId="49" fillId="0" borderId="9" xfId="12" applyFont="1" applyBorder="1" applyAlignment="1">
      <alignment horizontal="left" vertical="center" wrapText="1"/>
    </xf>
    <xf numFmtId="0" fontId="49" fillId="0" borderId="7" xfId="12" applyFont="1" applyBorder="1" applyAlignment="1">
      <alignment horizontal="center" vertical="center" wrapText="1"/>
    </xf>
    <xf numFmtId="3" fontId="49" fillId="0" borderId="9" xfId="12" applyNumberFormat="1" applyFont="1" applyBorder="1" applyAlignment="1">
      <alignment horizontal="right" vertical="center" wrapText="1"/>
    </xf>
    <xf numFmtId="0" fontId="49" fillId="0" borderId="9" xfId="12" applyFont="1" applyBorder="1" applyAlignment="1">
      <alignment horizontal="center" vertical="center"/>
    </xf>
    <xf numFmtId="0" fontId="57" fillId="0" borderId="14" xfId="12" applyFont="1" applyBorder="1" applyAlignment="1">
      <alignment horizontal="left" vertical="top" wrapText="1"/>
    </xf>
    <xf numFmtId="0" fontId="57" fillId="0" borderId="9" xfId="12" applyFont="1" applyBorder="1" applyAlignment="1">
      <alignment horizontal="left" vertical="top" wrapText="1"/>
    </xf>
    <xf numFmtId="0" fontId="49" fillId="0" borderId="9" xfId="12" applyFont="1" applyBorder="1" applyAlignment="1">
      <alignment horizontal="center" vertical="top" wrapText="1"/>
    </xf>
    <xf numFmtId="0" fontId="49" fillId="0" borderId="9" xfId="12" applyFont="1" applyBorder="1"/>
    <xf numFmtId="49" fontId="49" fillId="0" borderId="11" xfId="12" quotePrefix="1" applyNumberFormat="1" applyFont="1" applyBorder="1" applyAlignment="1">
      <alignment horizontal="center" vertical="center" wrapText="1"/>
    </xf>
    <xf numFmtId="0" fontId="58" fillId="0" borderId="9" xfId="12" applyFont="1" applyBorder="1" applyAlignment="1">
      <alignment horizontal="left" vertical="center" wrapText="1"/>
    </xf>
    <xf numFmtId="3" fontId="58" fillId="0" borderId="9" xfId="12" applyNumberFormat="1" applyFont="1" applyBorder="1" applyAlignment="1">
      <alignment horizontal="right" vertical="center" wrapText="1"/>
    </xf>
    <xf numFmtId="49" fontId="49" fillId="0" borderId="9" xfId="12" quotePrefix="1" applyNumberFormat="1" applyFont="1" applyBorder="1" applyAlignment="1">
      <alignment horizontal="center" vertical="center" wrapText="1"/>
    </xf>
    <xf numFmtId="0" fontId="49" fillId="2" borderId="9" xfId="12" applyFont="1" applyFill="1" applyBorder="1" applyAlignment="1">
      <alignment horizontal="left" vertical="center" wrapText="1"/>
    </xf>
    <xf numFmtId="3" fontId="49" fillId="0" borderId="8" xfId="12" applyNumberFormat="1" applyFont="1" applyAlignment="1">
      <alignment horizontal="right" vertical="center" wrapText="1"/>
    </xf>
    <xf numFmtId="0" fontId="49" fillId="2" borderId="9" xfId="12" applyFont="1" applyFill="1" applyBorder="1" applyAlignment="1">
      <alignment vertical="center" wrapText="1"/>
    </xf>
    <xf numFmtId="20" fontId="49" fillId="2" borderId="11" xfId="12" quotePrefix="1" applyNumberFormat="1" applyFont="1" applyFill="1" applyBorder="1" applyAlignment="1">
      <alignment horizontal="center" vertical="center" wrapText="1"/>
    </xf>
    <xf numFmtId="0" fontId="49" fillId="2" borderId="11" xfId="12" applyFont="1" applyFill="1" applyBorder="1" applyAlignment="1">
      <alignment vertical="center" wrapText="1"/>
    </xf>
    <xf numFmtId="0" fontId="58" fillId="0" borderId="9" xfId="12" applyFont="1" applyBorder="1" applyAlignment="1">
      <alignment horizontal="center" vertical="center" wrapText="1"/>
    </xf>
    <xf numFmtId="49" fontId="49" fillId="0" borderId="11" xfId="13" quotePrefix="1" applyNumberFormat="1" applyFont="1" applyBorder="1" applyAlignment="1">
      <alignment horizontal="center" vertical="center" wrapText="1"/>
    </xf>
    <xf numFmtId="49" fontId="49" fillId="0" borderId="11" xfId="13" applyNumberFormat="1" applyFont="1" applyBorder="1" applyAlignment="1">
      <alignment vertical="center" wrapText="1"/>
    </xf>
    <xf numFmtId="20" fontId="49" fillId="0" borderId="11" xfId="12" quotePrefix="1" applyNumberFormat="1" applyFont="1" applyBorder="1" applyAlignment="1">
      <alignment horizontal="center" vertical="center" wrapText="1"/>
    </xf>
    <xf numFmtId="0" fontId="49" fillId="2" borderId="11" xfId="12" quotePrefix="1" applyFont="1" applyFill="1" applyBorder="1" applyAlignment="1">
      <alignment vertical="center" wrapText="1"/>
    </xf>
    <xf numFmtId="169" fontId="49" fillId="0" borderId="9" xfId="14" applyNumberFormat="1" applyFont="1" applyFill="1" applyBorder="1" applyAlignment="1">
      <alignment horizontal="right" vertical="center" wrapText="1"/>
    </xf>
    <xf numFmtId="169" fontId="49" fillId="0" borderId="9" xfId="14" applyNumberFormat="1" applyFont="1" applyBorder="1" applyAlignment="1">
      <alignment horizontal="right" vertical="center" wrapText="1"/>
    </xf>
    <xf numFmtId="3" fontId="49" fillId="2" borderId="9" xfId="12" applyNumberFormat="1" applyFont="1" applyFill="1" applyBorder="1" applyAlignment="1">
      <alignment horizontal="right" vertical="center" wrapText="1"/>
    </xf>
    <xf numFmtId="20" fontId="49" fillId="2" borderId="9" xfId="12" quotePrefix="1" applyNumberFormat="1" applyFont="1" applyFill="1" applyBorder="1" applyAlignment="1">
      <alignment horizontal="center" vertical="center" wrapText="1"/>
    </xf>
    <xf numFmtId="3" fontId="59" fillId="0" borderId="9" xfId="12" applyNumberFormat="1" applyFont="1" applyBorder="1" applyAlignment="1">
      <alignment horizontal="right" vertical="center" wrapText="1"/>
    </xf>
    <xf numFmtId="0" fontId="49" fillId="0" borderId="1" xfId="12" applyFont="1" applyBorder="1" applyAlignment="1">
      <alignment horizontal="center" vertical="center" wrapText="1"/>
    </xf>
    <xf numFmtId="3" fontId="58" fillId="0" borderId="8" xfId="12" applyNumberFormat="1" applyFont="1" applyAlignment="1">
      <alignment horizontal="right" vertical="center" wrapText="1"/>
    </xf>
    <xf numFmtId="49" fontId="49" fillId="0" borderId="9" xfId="13" applyNumberFormat="1" applyFont="1" applyBorder="1" applyAlignment="1">
      <alignment vertical="center" wrapText="1"/>
    </xf>
    <xf numFmtId="49" fontId="49" fillId="0" borderId="11" xfId="13" applyNumberFormat="1" applyFont="1" applyBorder="1" applyAlignment="1">
      <alignment horizontal="center" vertical="center" wrapText="1"/>
    </xf>
    <xf numFmtId="0" fontId="58" fillId="2" borderId="9" xfId="12" applyFont="1" applyFill="1" applyBorder="1" applyAlignment="1">
      <alignment horizontal="left" vertical="center" wrapText="1"/>
    </xf>
    <xf numFmtId="0" fontId="49" fillId="0" borderId="11" xfId="12" applyFont="1" applyBorder="1" applyAlignment="1">
      <alignment vertical="center" wrapText="1"/>
    </xf>
    <xf numFmtId="49" fontId="49" fillId="2" borderId="11" xfId="12" quotePrefix="1" applyNumberFormat="1" applyFont="1" applyFill="1" applyBorder="1" applyAlignment="1">
      <alignment horizontal="center" vertical="center" wrapText="1"/>
    </xf>
    <xf numFmtId="0" fontId="58" fillId="0" borderId="14" xfId="12" applyFont="1" applyBorder="1" applyAlignment="1">
      <alignment horizontal="left" vertical="center" wrapText="1"/>
    </xf>
    <xf numFmtId="49" fontId="49" fillId="2" borderId="11" xfId="13" quotePrefix="1" applyNumberFormat="1" applyFont="1" applyFill="1" applyBorder="1" applyAlignment="1">
      <alignment horizontal="center" vertical="center" wrapText="1"/>
    </xf>
    <xf numFmtId="0" fontId="49" fillId="0" borderId="14" xfId="12" applyFont="1" applyBorder="1" applyAlignment="1">
      <alignment horizontal="left" vertical="center" wrapText="1"/>
    </xf>
    <xf numFmtId="0" fontId="57" fillId="2" borderId="9" xfId="12" applyFont="1" applyFill="1" applyBorder="1" applyAlignment="1">
      <alignment horizontal="left" vertical="top" wrapText="1"/>
    </xf>
    <xf numFmtId="0" fontId="57" fillId="2" borderId="9" xfId="12" applyFont="1" applyFill="1" applyBorder="1" applyAlignment="1">
      <alignment horizontal="center" vertical="top" wrapText="1"/>
    </xf>
    <xf numFmtId="3" fontId="57" fillId="0" borderId="9" xfId="12" applyNumberFormat="1" applyFont="1" applyBorder="1" applyAlignment="1">
      <alignment horizontal="right" vertical="top" wrapText="1"/>
    </xf>
    <xf numFmtId="3" fontId="57" fillId="2" borderId="9" xfId="12" applyNumberFormat="1" applyFont="1" applyFill="1" applyBorder="1" applyAlignment="1">
      <alignment horizontal="right" vertical="top" wrapText="1"/>
    </xf>
    <xf numFmtId="0" fontId="57" fillId="2" borderId="9" xfId="12" applyFont="1" applyFill="1" applyBorder="1" applyAlignment="1">
      <alignment vertical="top"/>
    </xf>
    <xf numFmtId="41" fontId="60" fillId="2" borderId="11" xfId="13" applyFont="1" applyFill="1" applyBorder="1" applyAlignment="1">
      <alignment horizontal="center" vertical="center" wrapText="1"/>
    </xf>
    <xf numFmtId="0" fontId="49" fillId="2" borderId="9" xfId="12" applyFont="1" applyFill="1" applyBorder="1" applyAlignment="1">
      <alignment horizontal="center" vertical="top" wrapText="1"/>
    </xf>
    <xf numFmtId="0" fontId="49" fillId="2" borderId="9" xfId="12" applyFont="1" applyFill="1" applyBorder="1" applyAlignment="1">
      <alignment horizontal="left" vertical="top" wrapText="1"/>
    </xf>
    <xf numFmtId="3" fontId="49" fillId="0" borderId="9" xfId="12" applyNumberFormat="1" applyFont="1" applyBorder="1" applyAlignment="1">
      <alignment horizontal="right" vertical="top" wrapText="1"/>
    </xf>
    <xf numFmtId="3" fontId="49" fillId="2" borderId="9" xfId="12" applyNumberFormat="1" applyFont="1" applyFill="1" applyBorder="1" applyAlignment="1">
      <alignment horizontal="right" vertical="top" wrapText="1"/>
    </xf>
    <xf numFmtId="0" fontId="49" fillId="2" borderId="9" xfId="12" applyFont="1" applyFill="1" applyBorder="1" applyAlignment="1">
      <alignment vertical="top"/>
    </xf>
    <xf numFmtId="49" fontId="49" fillId="2" borderId="9" xfId="13" quotePrefix="1" applyNumberFormat="1" applyFont="1" applyFill="1" applyBorder="1" applyAlignment="1">
      <alignment horizontal="center" vertical="center" wrapText="1"/>
    </xf>
    <xf numFmtId="49" fontId="49" fillId="0" borderId="9" xfId="13" applyNumberFormat="1" applyFont="1" applyBorder="1" applyAlignment="1">
      <alignment horizontal="left" vertical="center" wrapText="1"/>
    </xf>
    <xf numFmtId="0" fontId="49" fillId="0" borderId="9" xfId="12" applyFont="1" applyBorder="1" applyAlignment="1">
      <alignment vertical="center"/>
    </xf>
    <xf numFmtId="169" fontId="49" fillId="0" borderId="9" xfId="14" applyNumberFormat="1" applyFont="1" applyFill="1" applyBorder="1" applyAlignment="1">
      <alignment vertical="center"/>
    </xf>
    <xf numFmtId="0" fontId="49" fillId="0" borderId="9" xfId="8" applyFont="1" applyBorder="1" applyAlignment="1">
      <alignment horizontal="left" vertical="center" wrapText="1"/>
    </xf>
    <xf numFmtId="165" fontId="49" fillId="0" borderId="9" xfId="14" applyFont="1" applyBorder="1" applyAlignment="1">
      <alignment horizontal="left" vertical="center" wrapText="1"/>
    </xf>
    <xf numFmtId="0" fontId="49" fillId="0" borderId="9" xfId="12" quotePrefix="1" applyFont="1" applyBorder="1" applyAlignment="1">
      <alignment horizontal="left" vertical="center" wrapText="1"/>
    </xf>
    <xf numFmtId="165" fontId="58" fillId="0" borderId="9" xfId="14" applyFont="1" applyFill="1" applyBorder="1" applyAlignment="1">
      <alignment horizontal="left" vertical="center" wrapText="1"/>
    </xf>
    <xf numFmtId="169" fontId="58" fillId="0" borderId="9" xfId="14" applyNumberFormat="1" applyFont="1" applyBorder="1" applyAlignment="1">
      <alignment horizontal="right" vertical="center" wrapText="1"/>
    </xf>
    <xf numFmtId="0" fontId="49" fillId="2" borderId="9" xfId="12" applyFont="1" applyFill="1" applyBorder="1" applyAlignment="1">
      <alignment horizontal="center" vertical="center" wrapText="1"/>
    </xf>
    <xf numFmtId="41" fontId="56" fillId="7" borderId="11" xfId="13" quotePrefix="1" applyFont="1" applyFill="1" applyBorder="1" applyAlignment="1">
      <alignment horizontal="center" vertical="center" wrapText="1"/>
    </xf>
    <xf numFmtId="0" fontId="49" fillId="0" borderId="9" xfId="12" applyFont="1" applyBorder="1" applyAlignment="1">
      <alignment horizontal="center" vertical="top"/>
    </xf>
    <xf numFmtId="41" fontId="62" fillId="2" borderId="11" xfId="13" quotePrefix="1" applyFont="1" applyFill="1" applyBorder="1" applyAlignment="1">
      <alignment horizontal="center" vertical="center" wrapText="1"/>
    </xf>
    <xf numFmtId="3" fontId="49" fillId="0" borderId="9" xfId="12" applyNumberFormat="1" applyFont="1" applyBorder="1" applyAlignment="1">
      <alignment horizontal="left" vertical="center" wrapText="1"/>
    </xf>
    <xf numFmtId="167" fontId="63" fillId="0" borderId="9" xfId="14" applyNumberFormat="1" applyFont="1" applyFill="1" applyBorder="1" applyAlignment="1">
      <alignment horizontal="right" vertical="center" wrapText="1"/>
    </xf>
    <xf numFmtId="3" fontId="63" fillId="0" borderId="9" xfId="12" applyNumberFormat="1" applyFont="1" applyBorder="1" applyAlignment="1">
      <alignment horizontal="right" vertical="center" wrapText="1"/>
    </xf>
    <xf numFmtId="0" fontId="37" fillId="0" borderId="8" xfId="12" applyFont="1" applyAlignment="1">
      <alignment vertical="top" wrapText="1"/>
    </xf>
    <xf numFmtId="0" fontId="37" fillId="0" borderId="8" xfId="12" applyFont="1" applyAlignment="1">
      <alignment horizontal="left" vertical="center" wrapText="1"/>
    </xf>
    <xf numFmtId="3" fontId="37" fillId="0" borderId="8" xfId="12" applyNumberFormat="1" applyFont="1" applyAlignment="1">
      <alignment horizontal="right" vertical="center" wrapText="1"/>
    </xf>
    <xf numFmtId="0" fontId="37" fillId="0" borderId="8" xfId="12" applyFont="1"/>
    <xf numFmtId="0" fontId="3" fillId="0" borderId="8" xfId="12"/>
    <xf numFmtId="0" fontId="49" fillId="0" borderId="8" xfId="12" applyFont="1" applyAlignment="1">
      <alignment vertical="top" wrapText="1"/>
    </xf>
    <xf numFmtId="0" fontId="64" fillId="0" borderId="8" xfId="12" applyFont="1" applyAlignment="1">
      <alignment horizontal="center" vertical="top" wrapText="1"/>
    </xf>
    <xf numFmtId="0" fontId="20" fillId="0" borderId="8" xfId="12" applyFont="1" applyAlignment="1">
      <alignment horizontal="left" vertical="center" wrapText="1"/>
    </xf>
    <xf numFmtId="3" fontId="20" fillId="0" borderId="8" xfId="12" applyNumberFormat="1" applyFont="1" applyAlignment="1">
      <alignment horizontal="right" vertical="center" wrapText="1"/>
    </xf>
    <xf numFmtId="0" fontId="20" fillId="0" borderId="8" xfId="12" applyFont="1" applyAlignment="1">
      <alignment horizontal="right" vertical="center" wrapText="1"/>
    </xf>
    <xf numFmtId="0" fontId="53" fillId="0" borderId="9" xfId="12" applyFont="1" applyBorder="1" applyAlignment="1">
      <alignment horizontal="center" vertical="center" wrapText="1"/>
    </xf>
    <xf numFmtId="0" fontId="60" fillId="0" borderId="9" xfId="12" applyFont="1" applyBorder="1" applyAlignment="1">
      <alignment horizontal="center" vertical="top" wrapText="1"/>
    </xf>
    <xf numFmtId="49" fontId="37" fillId="0" borderId="9" xfId="12" applyNumberFormat="1" applyFont="1" applyBorder="1" applyAlignment="1">
      <alignment horizontal="center" vertical="center" wrapText="1"/>
    </xf>
    <xf numFmtId="167" fontId="49" fillId="0" borderId="9" xfId="14" applyNumberFormat="1" applyFont="1" applyBorder="1" applyAlignment="1">
      <alignment horizontal="right" vertical="center" wrapText="1"/>
    </xf>
    <xf numFmtId="0" fontId="49" fillId="0" borderId="8" xfId="12" applyFont="1" applyAlignment="1">
      <alignment horizontal="center" vertical="center" wrapText="1"/>
    </xf>
    <xf numFmtId="0" fontId="49" fillId="0" borderId="8" xfId="12" applyFont="1" applyAlignment="1">
      <alignment horizontal="left" vertical="center" wrapText="1"/>
    </xf>
    <xf numFmtId="0" fontId="49" fillId="0" borderId="8" xfId="12" applyFont="1" applyAlignment="1">
      <alignment horizontal="center"/>
    </xf>
    <xf numFmtId="0" fontId="49" fillId="0" borderId="8" xfId="12" applyFont="1" applyAlignment="1">
      <alignment horizontal="right" vertical="center" wrapText="1"/>
    </xf>
    <xf numFmtId="167" fontId="49" fillId="0" borderId="9" xfId="14" applyNumberFormat="1" applyFont="1" applyBorder="1" applyAlignment="1">
      <alignment horizontal="right" vertical="top" wrapText="1"/>
    </xf>
    <xf numFmtId="0" fontId="65" fillId="0" borderId="8" xfId="12" applyFont="1" applyAlignment="1">
      <alignment horizontal="center"/>
    </xf>
    <xf numFmtId="0" fontId="49" fillId="0" borderId="8" xfId="12" applyFont="1" applyAlignment="1">
      <alignment horizontal="left" vertical="top" wrapText="1"/>
    </xf>
    <xf numFmtId="167" fontId="56" fillId="0" borderId="9" xfId="14" applyNumberFormat="1" applyFont="1" applyBorder="1" applyAlignment="1">
      <alignment horizontal="right" vertical="center" wrapText="1"/>
    </xf>
    <xf numFmtId="165" fontId="49" fillId="0" borderId="11" xfId="14" applyFont="1" applyBorder="1" applyAlignment="1">
      <alignment horizontal="center" vertical="top" wrapText="1"/>
    </xf>
    <xf numFmtId="165" fontId="49" fillId="0" borderId="14" xfId="14" applyFont="1" applyBorder="1" applyAlignment="1">
      <alignment horizontal="left" vertical="top" wrapText="1"/>
    </xf>
    <xf numFmtId="167" fontId="49" fillId="0" borderId="9" xfId="14" applyNumberFormat="1" applyFont="1" applyBorder="1" applyAlignment="1">
      <alignment horizontal="left" vertical="center" wrapText="1"/>
    </xf>
    <xf numFmtId="167" fontId="37" fillId="0" borderId="8" xfId="14" applyNumberFormat="1" applyFont="1" applyAlignment="1">
      <alignment horizontal="left" vertical="center" wrapText="1"/>
    </xf>
    <xf numFmtId="167" fontId="37" fillId="0" borderId="8" xfId="12" applyNumberFormat="1" applyFont="1" applyAlignment="1">
      <alignment horizontal="left" vertical="center" wrapText="1"/>
    </xf>
    <xf numFmtId="0" fontId="2" fillId="0" borderId="8" xfId="15" applyBorder="1"/>
    <xf numFmtId="0" fontId="18" fillId="0" borderId="16" xfId="15" applyFont="1" applyBorder="1" applyAlignment="1">
      <alignment horizontal="center" vertical="top"/>
    </xf>
    <xf numFmtId="0" fontId="18" fillId="0" borderId="13" xfId="15" applyFont="1" applyBorder="1" applyAlignment="1">
      <alignment vertical="top"/>
    </xf>
    <xf numFmtId="0" fontId="18" fillId="0" borderId="9" xfId="15" applyFont="1" applyBorder="1" applyAlignment="1">
      <alignment horizontal="center" vertical="top"/>
    </xf>
    <xf numFmtId="0" fontId="18" fillId="0" borderId="13" xfId="15" applyFont="1" applyBorder="1" applyAlignment="1">
      <alignment horizontal="center" vertical="top"/>
    </xf>
    <xf numFmtId="0" fontId="67" fillId="9" borderId="9" xfId="15" applyFont="1" applyFill="1" applyBorder="1" applyAlignment="1">
      <alignment horizontal="center" vertical="top"/>
    </xf>
    <xf numFmtId="0" fontId="18" fillId="0" borderId="11" xfId="15" applyFont="1" applyFill="1" applyBorder="1" applyAlignment="1">
      <alignment horizontal="left" vertical="center"/>
    </xf>
    <xf numFmtId="0" fontId="18" fillId="0" borderId="22" xfId="15" applyFont="1" applyFill="1" applyBorder="1" applyAlignment="1">
      <alignment horizontal="left" vertical="center"/>
    </xf>
    <xf numFmtId="0" fontId="18" fillId="0" borderId="31" xfId="15" applyFont="1" applyFill="1" applyBorder="1" applyAlignment="1">
      <alignment horizontal="left" vertical="center"/>
    </xf>
    <xf numFmtId="0" fontId="0" fillId="0" borderId="9" xfId="16" applyFont="1" applyFill="1" applyBorder="1" applyAlignment="1">
      <alignment horizontal="center" vertical="center"/>
    </xf>
    <xf numFmtId="0" fontId="0" fillId="0" borderId="11" xfId="16" applyFont="1" applyFill="1" applyBorder="1" applyAlignment="1">
      <alignment horizontal="center" vertical="center"/>
    </xf>
    <xf numFmtId="0" fontId="68" fillId="0" borderId="9" xfId="15" applyFont="1" applyBorder="1" applyAlignment="1">
      <alignment vertical="top" wrapText="1"/>
    </xf>
    <xf numFmtId="0" fontId="68" fillId="0" borderId="9" xfId="15" applyFont="1" applyBorder="1" applyAlignment="1">
      <alignment wrapText="1"/>
    </xf>
    <xf numFmtId="0" fontId="2" fillId="0" borderId="9" xfId="15" applyBorder="1"/>
    <xf numFmtId="0" fontId="0" fillId="0" borderId="9" xfId="16" applyFont="1" applyFill="1" applyBorder="1" applyAlignment="1">
      <alignment horizontal="left" vertical="top"/>
    </xf>
    <xf numFmtId="0" fontId="0" fillId="0" borderId="9" xfId="16" applyFont="1" applyFill="1" applyBorder="1" applyAlignment="1">
      <alignment horizontal="left" vertical="center" wrapText="1"/>
    </xf>
    <xf numFmtId="168" fontId="0" fillId="0" borderId="9" xfId="16" applyNumberFormat="1" applyFont="1" applyFill="1" applyBorder="1" applyAlignment="1">
      <alignment horizontal="left" vertical="center"/>
    </xf>
    <xf numFmtId="0" fontId="0" fillId="0" borderId="9" xfId="16" applyFont="1" applyFill="1" applyBorder="1" applyAlignment="1">
      <alignment horizontal="left" vertical="center"/>
    </xf>
    <xf numFmtId="0" fontId="68" fillId="0" borderId="8" xfId="15" applyFont="1" applyBorder="1" applyAlignment="1">
      <alignment wrapText="1"/>
    </xf>
    <xf numFmtId="0" fontId="0" fillId="0" borderId="9" xfId="16" applyFont="1" applyFill="1" applyBorder="1" applyAlignment="1">
      <alignment horizontal="right" vertical="center"/>
    </xf>
    <xf numFmtId="0" fontId="0" fillId="0" borderId="9" xfId="16" applyFont="1" applyFill="1" applyBorder="1" applyAlignment="1">
      <alignment horizontal="center" vertical="center" wrapText="1"/>
    </xf>
    <xf numFmtId="0" fontId="0" fillId="0" borderId="11" xfId="16" applyFont="1" applyFill="1" applyBorder="1" applyAlignment="1">
      <alignment horizontal="center" vertical="center" wrapText="1"/>
    </xf>
    <xf numFmtId="0" fontId="68" fillId="0" borderId="9" xfId="15" applyFont="1" applyFill="1" applyBorder="1" applyAlignment="1">
      <alignment vertical="top" wrapText="1"/>
    </xf>
    <xf numFmtId="0" fontId="68" fillId="0" borderId="8" xfId="15" applyFont="1" applyFill="1" applyBorder="1" applyAlignment="1">
      <alignment wrapText="1"/>
    </xf>
    <xf numFmtId="170" fontId="0" fillId="0" borderId="9" xfId="16" applyNumberFormat="1" applyFont="1" applyFill="1" applyBorder="1" applyAlignment="1">
      <alignment horizontal="left" vertical="center"/>
    </xf>
    <xf numFmtId="0" fontId="68" fillId="0" borderId="32" xfId="15" applyFont="1" applyBorder="1" applyAlignment="1">
      <alignment vertical="top" wrapText="1"/>
    </xf>
    <xf numFmtId="0" fontId="66" fillId="0" borderId="8" xfId="15" applyFont="1" applyFill="1" applyAlignment="1">
      <alignment vertical="top"/>
    </xf>
    <xf numFmtId="0" fontId="0" fillId="0" borderId="9" xfId="16" applyFont="1" applyFill="1" applyBorder="1" applyAlignment="1">
      <alignment horizontal="center" wrapText="1"/>
    </xf>
    <xf numFmtId="2" fontId="2" fillId="0" borderId="9" xfId="17" applyNumberFormat="1" applyFont="1" applyFill="1" applyBorder="1" applyAlignment="1">
      <alignment horizontal="center" vertical="center"/>
    </xf>
    <xf numFmtId="0" fontId="2" fillId="0" borderId="9" xfId="15" applyBorder="1" applyAlignment="1">
      <alignment horizontal="center" vertical="center"/>
    </xf>
    <xf numFmtId="0" fontId="22" fillId="0" borderId="9" xfId="16" applyFont="1" applyFill="1" applyBorder="1" applyAlignment="1">
      <alignment horizontal="left" vertical="center" wrapText="1"/>
    </xf>
    <xf numFmtId="0" fontId="0" fillId="0" borderId="8" xfId="16" applyFont="1" applyFill="1" applyBorder="1" applyAlignment="1">
      <alignment horizontal="center" vertical="center"/>
    </xf>
    <xf numFmtId="0" fontId="0" fillId="0" borderId="8" xfId="16" applyFont="1" applyFill="1" applyBorder="1" applyAlignment="1">
      <alignment horizontal="left" vertical="center" wrapText="1"/>
    </xf>
    <xf numFmtId="0" fontId="0" fillId="0" borderId="8" xfId="16" applyFont="1" applyFill="1" applyBorder="1" applyAlignment="1">
      <alignment horizontal="left" vertical="center"/>
    </xf>
    <xf numFmtId="168" fontId="0" fillId="0" borderId="8" xfId="16" applyNumberFormat="1" applyFont="1" applyFill="1" applyBorder="1" applyAlignment="1">
      <alignment horizontal="left" vertical="center"/>
    </xf>
    <xf numFmtId="0" fontId="0" fillId="0" borderId="8" xfId="16" applyFont="1" applyFill="1" applyBorder="1" applyAlignment="1">
      <alignment horizontal="right" vertical="center"/>
    </xf>
    <xf numFmtId="0" fontId="66" fillId="0" borderId="8" xfId="15" applyFont="1" applyFill="1" applyBorder="1" applyAlignment="1">
      <alignment vertical="top"/>
    </xf>
    <xf numFmtId="0" fontId="2" fillId="0" borderId="8" xfId="15" applyFill="1" applyBorder="1" applyAlignment="1">
      <alignment vertical="top"/>
    </xf>
    <xf numFmtId="0" fontId="26" fillId="0" borderId="9" xfId="18" applyFont="1" applyBorder="1" applyAlignment="1">
      <alignment horizontal="center" vertical="center" wrapText="1"/>
    </xf>
    <xf numFmtId="0" fontId="26" fillId="0" borderId="9" xfId="18" applyFont="1" applyBorder="1" applyAlignment="1">
      <alignment horizontal="left" vertical="center" wrapText="1"/>
    </xf>
    <xf numFmtId="167" fontId="26" fillId="0" borderId="9" xfId="19" applyNumberFormat="1" applyFont="1" applyBorder="1" applyAlignment="1">
      <alignment horizontal="left" vertical="center" wrapText="1"/>
    </xf>
    <xf numFmtId="0" fontId="70" fillId="0" borderId="8" xfId="18" applyFont="1" applyBorder="1" applyAlignment="1">
      <alignment horizontal="left" vertical="center" wrapText="1"/>
    </xf>
    <xf numFmtId="0" fontId="2" fillId="0" borderId="9" xfId="15" applyFont="1" applyBorder="1" applyAlignment="1">
      <alignment horizontal="left" vertical="center" wrapText="1"/>
    </xf>
    <xf numFmtId="0" fontId="2" fillId="0" borderId="9" xfId="15" applyBorder="1" applyAlignment="1">
      <alignment horizontal="left" vertical="center" wrapText="1"/>
    </xf>
    <xf numFmtId="0" fontId="2" fillId="0" borderId="9" xfId="15" applyFont="1" applyBorder="1" applyAlignment="1">
      <alignment horizontal="center" vertical="center" wrapText="1"/>
    </xf>
    <xf numFmtId="167" fontId="26" fillId="0" borderId="9" xfId="20" applyNumberFormat="1" applyFont="1" applyBorder="1" applyAlignment="1">
      <alignment horizontal="left" vertical="center" wrapText="1"/>
    </xf>
    <xf numFmtId="0" fontId="2" fillId="0" borderId="9" xfId="15" applyBorder="1" applyAlignment="1">
      <alignment horizontal="center" vertical="center" wrapText="1"/>
    </xf>
    <xf numFmtId="0" fontId="2" fillId="0" borderId="9" xfId="15" applyFont="1" applyBorder="1" applyAlignment="1">
      <alignment horizontal="left" vertical="center"/>
    </xf>
    <xf numFmtId="0" fontId="2" fillId="0" borderId="9" xfId="15" applyFont="1" applyBorder="1" applyAlignment="1">
      <alignment horizontal="center" vertical="center"/>
    </xf>
    <xf numFmtId="0" fontId="2" fillId="0" borderId="9" xfId="15" applyBorder="1" applyAlignment="1">
      <alignment horizontal="left" vertical="center"/>
    </xf>
    <xf numFmtId="164" fontId="2" fillId="0" borderId="9" xfId="21" applyFont="1" applyBorder="1" applyAlignment="1">
      <alignment horizontal="left" vertical="center"/>
    </xf>
    <xf numFmtId="0" fontId="2" fillId="0" borderId="16" xfId="15" applyFont="1" applyBorder="1" applyAlignment="1">
      <alignment horizontal="left" vertical="center" wrapText="1"/>
    </xf>
    <xf numFmtId="0" fontId="2" fillId="0" borderId="16" xfId="15" applyFont="1" applyBorder="1" applyAlignment="1">
      <alignment horizontal="center" vertical="center" wrapText="1"/>
    </xf>
    <xf numFmtId="0" fontId="2" fillId="0" borderId="12" xfId="15" applyFont="1" applyBorder="1" applyAlignment="1">
      <alignment horizontal="left" vertical="center" wrapText="1"/>
    </xf>
    <xf numFmtId="167" fontId="2" fillId="0" borderId="9" xfId="20" applyNumberFormat="1" applyFont="1" applyBorder="1" applyAlignment="1">
      <alignment horizontal="left" vertical="center"/>
    </xf>
    <xf numFmtId="167" fontId="2" fillId="0" borderId="9" xfId="20" applyNumberFormat="1" applyFont="1" applyBorder="1" applyAlignment="1">
      <alignment horizontal="left" vertical="center" wrapText="1"/>
    </xf>
    <xf numFmtId="167" fontId="26" fillId="0" borderId="9" xfId="22" applyNumberFormat="1" applyFont="1" applyBorder="1" applyAlignment="1">
      <alignment horizontal="left" vertical="center" wrapText="1"/>
    </xf>
    <xf numFmtId="171" fontId="26" fillId="0" borderId="9" xfId="20" applyNumberFormat="1" applyFont="1" applyBorder="1" applyAlignment="1">
      <alignment horizontal="left" vertical="center" wrapText="1"/>
    </xf>
    <xf numFmtId="167" fontId="2" fillId="0" borderId="8" xfId="15" applyNumberFormat="1" applyBorder="1"/>
    <xf numFmtId="0" fontId="26" fillId="0" borderId="8" xfId="18" applyFont="1" applyBorder="1" applyAlignment="1">
      <alignment horizontal="center" vertical="center" wrapText="1"/>
    </xf>
    <xf numFmtId="0" fontId="26" fillId="0" borderId="8" xfId="18" applyFont="1" applyBorder="1" applyAlignment="1">
      <alignment horizontal="left" vertical="center" wrapText="1"/>
    </xf>
    <xf numFmtId="167" fontId="26" fillId="0" borderId="8" xfId="22" applyNumberFormat="1" applyFont="1" applyBorder="1" applyAlignment="1">
      <alignment horizontal="left" vertical="center" wrapText="1"/>
    </xf>
    <xf numFmtId="0" fontId="66" fillId="0" borderId="8" xfId="15" applyFont="1" applyAlignment="1">
      <alignment vertical="top"/>
    </xf>
    <xf numFmtId="0" fontId="2" fillId="0" borderId="8" xfId="15" applyAlignment="1">
      <alignment vertical="top"/>
    </xf>
    <xf numFmtId="0" fontId="18" fillId="0" borderId="11" xfId="15" applyFont="1" applyBorder="1" applyAlignment="1">
      <alignment vertical="top"/>
    </xf>
    <xf numFmtId="0" fontId="18" fillId="0" borderId="22" xfId="15" applyFont="1" applyBorder="1" applyAlignment="1">
      <alignment vertical="top"/>
    </xf>
    <xf numFmtId="0" fontId="18" fillId="0" borderId="14" xfId="15" applyFont="1" applyBorder="1" applyAlignment="1">
      <alignment vertical="top"/>
    </xf>
    <xf numFmtId="0" fontId="2" fillId="0" borderId="9" xfId="15" applyBorder="1" applyAlignment="1">
      <alignment horizontal="center" vertical="top"/>
    </xf>
    <xf numFmtId="0" fontId="2" fillId="0" borderId="9" xfId="15" applyBorder="1" applyAlignment="1">
      <alignment vertical="top" wrapText="1"/>
    </xf>
    <xf numFmtId="0" fontId="2" fillId="0" borderId="9" xfId="15" quotePrefix="1" applyBorder="1" applyAlignment="1">
      <alignment vertical="top" wrapText="1"/>
    </xf>
    <xf numFmtId="0" fontId="2" fillId="0" borderId="9" xfId="15" applyBorder="1" applyAlignment="1">
      <alignment vertical="top"/>
    </xf>
    <xf numFmtId="167" fontId="0" fillId="0" borderId="9" xfId="20" applyNumberFormat="1" applyFont="1" applyBorder="1" applyAlignment="1">
      <alignment horizontal="center" vertical="top"/>
    </xf>
    <xf numFmtId="167" fontId="0" fillId="0" borderId="9" xfId="20" applyNumberFormat="1" applyFont="1" applyBorder="1" applyAlignment="1">
      <alignment vertical="top"/>
    </xf>
    <xf numFmtId="2" fontId="2" fillId="0" borderId="9" xfId="15" applyNumberFormat="1" applyBorder="1" applyAlignment="1">
      <alignment horizontal="center" vertical="top"/>
    </xf>
    <xf numFmtId="0" fontId="2" fillId="0" borderId="9" xfId="15" applyBorder="1" applyAlignment="1">
      <alignment horizontal="left" vertical="top" wrapText="1"/>
    </xf>
    <xf numFmtId="0" fontId="18" fillId="0" borderId="22" xfId="15" applyFont="1" applyBorder="1" applyAlignment="1">
      <alignment horizontal="center" vertical="top"/>
    </xf>
    <xf numFmtId="167" fontId="18" fillId="0" borderId="22" xfId="20" applyNumberFormat="1" applyFont="1" applyBorder="1" applyAlignment="1">
      <alignment vertical="top"/>
    </xf>
    <xf numFmtId="0" fontId="2" fillId="0" borderId="9" xfId="15" quotePrefix="1" applyBorder="1" applyAlignment="1">
      <alignment vertical="top"/>
    </xf>
    <xf numFmtId="0" fontId="67" fillId="9" borderId="16" xfId="15" applyFont="1" applyFill="1" applyBorder="1" applyAlignment="1">
      <alignment horizontal="center" vertical="top"/>
    </xf>
    <xf numFmtId="0" fontId="2" fillId="0" borderId="9" xfId="17" applyFont="1" applyFill="1" applyBorder="1" applyAlignment="1">
      <alignment horizontal="left" vertical="center"/>
    </xf>
    <xf numFmtId="0" fontId="2" fillId="0" borderId="9" xfId="17" applyFont="1" applyFill="1" applyBorder="1" applyAlignment="1">
      <alignment horizontal="center" vertical="center"/>
    </xf>
    <xf numFmtId="0" fontId="2" fillId="0" borderId="9" xfId="17" applyFont="1" applyFill="1" applyBorder="1" applyAlignment="1">
      <alignment horizontal="left" vertical="center" wrapText="1"/>
    </xf>
    <xf numFmtId="0" fontId="0" fillId="0" borderId="9" xfId="17" applyFont="1" applyFill="1" applyBorder="1" applyAlignment="1">
      <alignment horizontal="left" vertical="center" wrapText="1"/>
    </xf>
    <xf numFmtId="0" fontId="0" fillId="0" borderId="9" xfId="17" applyFont="1" applyFill="1" applyBorder="1" applyAlignment="1">
      <alignment horizontal="left" vertical="center"/>
    </xf>
    <xf numFmtId="0" fontId="0" fillId="0" borderId="9" xfId="17" applyNumberFormat="1" applyFont="1" applyFill="1" applyBorder="1" applyAlignment="1">
      <alignment horizontal="center" vertical="center"/>
    </xf>
    <xf numFmtId="3" fontId="2" fillId="0" borderId="9" xfId="17" applyNumberFormat="1" applyFont="1" applyFill="1" applyBorder="1" applyAlignment="1">
      <alignment horizontal="left" vertical="center"/>
    </xf>
    <xf numFmtId="167" fontId="2" fillId="0" borderId="9" xfId="20" applyNumberFormat="1" applyFont="1" applyFill="1" applyBorder="1" applyAlignment="1">
      <alignment horizontal="left" vertical="center"/>
    </xf>
    <xf numFmtId="0" fontId="2" fillId="0" borderId="9" xfId="17" applyNumberFormat="1" applyFont="1" applyFill="1" applyBorder="1" applyAlignment="1">
      <alignment horizontal="center" vertical="center"/>
    </xf>
    <xf numFmtId="167" fontId="0" fillId="0" borderId="9" xfId="20" applyNumberFormat="1" applyFont="1" applyFill="1" applyBorder="1" applyAlignment="1">
      <alignment horizontal="left" vertical="center"/>
    </xf>
    <xf numFmtId="0" fontId="2" fillId="2" borderId="9" xfId="17" applyFont="1" applyFill="1" applyBorder="1" applyAlignment="1">
      <alignment horizontal="center" vertical="center"/>
    </xf>
    <xf numFmtId="0" fontId="2" fillId="2" borderId="9" xfId="17" applyFont="1" applyFill="1" applyBorder="1" applyAlignment="1">
      <alignment horizontal="left" vertical="center" wrapText="1"/>
    </xf>
    <xf numFmtId="0" fontId="2" fillId="2" borderId="9" xfId="17" applyFont="1" applyFill="1" applyBorder="1" applyAlignment="1">
      <alignment horizontal="left" vertical="center"/>
    </xf>
    <xf numFmtId="0" fontId="2" fillId="2" borderId="9" xfId="17" applyNumberFormat="1" applyFont="1" applyFill="1" applyBorder="1" applyAlignment="1">
      <alignment horizontal="center" vertical="center"/>
    </xf>
    <xf numFmtId="3" fontId="2" fillId="2" borderId="9" xfId="17" applyNumberFormat="1" applyFont="1" applyFill="1" applyBorder="1" applyAlignment="1">
      <alignment horizontal="left" vertical="center"/>
    </xf>
    <xf numFmtId="167" fontId="2" fillId="2" borderId="9" xfId="20" applyNumberFormat="1" applyFont="1" applyFill="1" applyBorder="1" applyAlignment="1">
      <alignment horizontal="left" vertical="center"/>
    </xf>
    <xf numFmtId="0" fontId="0" fillId="2" borderId="9" xfId="17" applyFont="1" applyFill="1" applyBorder="1" applyAlignment="1">
      <alignment horizontal="left" vertical="center"/>
    </xf>
    <xf numFmtId="0" fontId="2" fillId="2" borderId="8" xfId="15" applyFill="1" applyBorder="1"/>
    <xf numFmtId="3" fontId="2" fillId="0" borderId="9" xfId="17" applyNumberFormat="1" applyFont="1" applyFill="1" applyBorder="1" applyAlignment="1">
      <alignment horizontal="right" vertical="center"/>
    </xf>
    <xf numFmtId="0" fontId="2" fillId="0" borderId="9" xfId="17" applyNumberFormat="1" applyFont="1" applyFill="1" applyBorder="1" applyAlignment="1">
      <alignment horizontal="left" vertical="center" wrapText="1"/>
    </xf>
    <xf numFmtId="0" fontId="2" fillId="0" borderId="9" xfId="17" applyNumberFormat="1" applyFont="1" applyFill="1" applyBorder="1" applyAlignment="1">
      <alignment horizontal="left" vertical="center"/>
    </xf>
    <xf numFmtId="3" fontId="2" fillId="0" borderId="8" xfId="15" applyNumberFormat="1" applyBorder="1"/>
    <xf numFmtId="0" fontId="2" fillId="0" borderId="9" xfId="15" applyFont="1" applyFill="1" applyBorder="1" applyAlignment="1">
      <alignment horizontal="left" vertical="center"/>
    </xf>
    <xf numFmtId="0" fontId="2" fillId="2" borderId="9" xfId="15" applyFont="1" applyFill="1" applyBorder="1" applyAlignment="1">
      <alignment horizontal="left" vertical="center" wrapText="1"/>
    </xf>
    <xf numFmtId="0" fontId="2" fillId="2" borderId="9" xfId="15" applyFill="1" applyBorder="1" applyAlignment="1">
      <alignment horizontal="center" vertical="center" wrapText="1"/>
    </xf>
    <xf numFmtId="0" fontId="2" fillId="2" borderId="9" xfId="15" applyFill="1" applyBorder="1" applyAlignment="1">
      <alignment horizontal="left" vertical="center" wrapText="1"/>
    </xf>
    <xf numFmtId="167" fontId="0" fillId="2" borderId="9" xfId="20" applyNumberFormat="1" applyFont="1" applyFill="1" applyBorder="1" applyAlignment="1">
      <alignment horizontal="right" vertical="center" wrapText="1"/>
    </xf>
    <xf numFmtId="0" fontId="2" fillId="0" borderId="9" xfId="15" applyBorder="1" applyAlignment="1">
      <alignment horizontal="right"/>
    </xf>
    <xf numFmtId="0" fontId="2" fillId="2" borderId="9" xfId="15" quotePrefix="1" applyFont="1" applyFill="1" applyBorder="1" applyAlignment="1">
      <alignment horizontal="center" vertical="center"/>
    </xf>
    <xf numFmtId="0" fontId="0" fillId="0" borderId="9" xfId="23" applyFont="1" applyFill="1" applyBorder="1" applyAlignment="1">
      <alignment horizontal="left" vertical="center" wrapText="1"/>
    </xf>
    <xf numFmtId="0" fontId="2" fillId="0" borderId="9" xfId="15" applyFont="1" applyFill="1" applyBorder="1" applyAlignment="1">
      <alignment horizontal="left" vertical="center" wrapText="1"/>
    </xf>
    <xf numFmtId="167" fontId="0" fillId="0" borderId="9" xfId="20" applyNumberFormat="1" applyFont="1" applyFill="1" applyBorder="1" applyAlignment="1">
      <alignment horizontal="left" vertical="center" wrapText="1"/>
    </xf>
    <xf numFmtId="0" fontId="2" fillId="0" borderId="9" xfId="15" quotePrefix="1" applyFont="1" applyFill="1" applyBorder="1" applyAlignment="1">
      <alignment horizontal="center" vertical="center"/>
    </xf>
    <xf numFmtId="0" fontId="0" fillId="0" borderId="9" xfId="23" applyFont="1" applyFill="1" applyBorder="1" applyAlignment="1">
      <alignment horizontal="left" vertical="top" wrapText="1"/>
    </xf>
    <xf numFmtId="167" fontId="0" fillId="2" borderId="9" xfId="20" applyNumberFormat="1" applyFont="1" applyFill="1" applyBorder="1" applyAlignment="1">
      <alignment horizontal="left" vertical="center" wrapText="1"/>
    </xf>
    <xf numFmtId="0" fontId="0" fillId="2" borderId="9" xfId="23" applyFont="1" applyFill="1" applyBorder="1" applyAlignment="1">
      <alignment horizontal="left" vertical="top" wrapText="1"/>
    </xf>
    <xf numFmtId="0" fontId="2" fillId="2" borderId="9" xfId="15" applyFont="1" applyFill="1" applyBorder="1" applyAlignment="1">
      <alignment horizontal="left" vertical="center"/>
    </xf>
    <xf numFmtId="2" fontId="2" fillId="2" borderId="9" xfId="15" quotePrefix="1" applyNumberFormat="1" applyFont="1" applyFill="1" applyBorder="1" applyAlignment="1">
      <alignment horizontal="center" vertical="center"/>
    </xf>
    <xf numFmtId="0" fontId="2" fillId="0" borderId="9" xfId="15" applyFill="1" applyBorder="1" applyAlignment="1">
      <alignment horizontal="center" vertical="center"/>
    </xf>
    <xf numFmtId="0" fontId="0" fillId="0" borderId="9" xfId="23" applyFont="1" applyFill="1" applyBorder="1" applyAlignment="1">
      <alignment horizontal="center" vertical="center" wrapText="1"/>
    </xf>
    <xf numFmtId="0" fontId="26" fillId="0" borderId="9" xfId="23" applyFont="1" applyFill="1" applyBorder="1" applyAlignment="1">
      <alignment horizontal="left" vertical="center" wrapText="1"/>
    </xf>
    <xf numFmtId="0" fontId="2" fillId="0" borderId="9" xfId="15" applyFill="1" applyBorder="1" applyAlignment="1">
      <alignment horizontal="center" vertical="center" wrapText="1"/>
    </xf>
    <xf numFmtId="0" fontId="2" fillId="0" borderId="9" xfId="15" applyFill="1" applyBorder="1" applyAlignment="1">
      <alignment horizontal="right" vertical="center" wrapText="1"/>
    </xf>
    <xf numFmtId="0" fontId="2" fillId="0" borderId="9" xfId="15" applyBorder="1" applyAlignment="1">
      <alignment vertical="center"/>
    </xf>
    <xf numFmtId="0" fontId="2" fillId="0" borderId="9" xfId="15" applyFill="1" applyBorder="1" applyAlignment="1">
      <alignment horizontal="left" vertical="center"/>
    </xf>
    <xf numFmtId="0" fontId="2" fillId="0" borderId="9" xfId="15" applyFill="1" applyBorder="1" applyAlignment="1">
      <alignment horizontal="left" vertical="center" wrapText="1"/>
    </xf>
    <xf numFmtId="3" fontId="0" fillId="0" borderId="9" xfId="23" applyNumberFormat="1" applyFont="1" applyFill="1" applyBorder="1" applyAlignment="1">
      <alignment horizontal="left" vertical="center"/>
    </xf>
    <xf numFmtId="0" fontId="0" fillId="0" borderId="9" xfId="23" applyFont="1" applyFill="1" applyBorder="1" applyAlignment="1">
      <alignment horizontal="center" vertical="center"/>
    </xf>
    <xf numFmtId="0" fontId="0" fillId="0" borderId="9" xfId="23" applyFont="1" applyFill="1" applyBorder="1" applyAlignment="1">
      <alignment horizontal="left" vertical="center"/>
    </xf>
    <xf numFmtId="167" fontId="0" fillId="0" borderId="9" xfId="20" applyNumberFormat="1" applyFont="1" applyFill="1" applyBorder="1" applyAlignment="1">
      <alignment horizontal="right" vertical="center" wrapText="1"/>
    </xf>
    <xf numFmtId="0" fontId="2" fillId="0" borderId="9" xfId="15" applyFont="1" applyFill="1" applyBorder="1" applyAlignment="1">
      <alignment horizontal="center" vertical="center" wrapText="1"/>
    </xf>
    <xf numFmtId="0" fontId="2" fillId="0" borderId="9" xfId="15" applyFont="1" applyFill="1" applyBorder="1" applyAlignment="1">
      <alignment horizontal="center" vertical="center"/>
    </xf>
    <xf numFmtId="167" fontId="0" fillId="0" borderId="9" xfId="20" applyNumberFormat="1" applyFont="1" applyFill="1" applyBorder="1" applyAlignment="1">
      <alignment horizontal="right" vertical="center"/>
    </xf>
    <xf numFmtId="0" fontId="0" fillId="2" borderId="9" xfId="23" applyFont="1" applyFill="1" applyBorder="1" applyAlignment="1">
      <alignment horizontal="left" vertical="center" wrapText="1"/>
    </xf>
    <xf numFmtId="0" fontId="2" fillId="0" borderId="9" xfId="15" applyFont="1" applyFill="1" applyBorder="1"/>
    <xf numFmtId="0" fontId="0" fillId="0" borderId="16" xfId="23" applyFont="1" applyFill="1" applyBorder="1" applyAlignment="1">
      <alignment horizontal="left" vertical="center" wrapText="1"/>
    </xf>
    <xf numFmtId="0" fontId="2" fillId="0" borderId="9" xfId="15" applyBorder="1" applyAlignment="1">
      <alignment horizontal="center"/>
    </xf>
    <xf numFmtId="167" fontId="0" fillId="0" borderId="9" xfId="20" applyNumberFormat="1" applyFont="1" applyBorder="1"/>
    <xf numFmtId="0" fontId="18" fillId="9" borderId="9" xfId="15" applyFont="1" applyFill="1" applyBorder="1" applyAlignment="1">
      <alignment horizontal="center" vertical="top"/>
    </xf>
    <xf numFmtId="0" fontId="2" fillId="0" borderId="9" xfId="15" applyBorder="1" applyAlignment="1">
      <alignment vertical="center" wrapText="1"/>
    </xf>
    <xf numFmtId="0" fontId="2" fillId="0" borderId="9" xfId="15" applyFont="1" applyBorder="1" applyAlignment="1">
      <alignment vertical="center" wrapText="1"/>
    </xf>
    <xf numFmtId="167" fontId="0" fillId="0" borderId="9" xfId="20" applyNumberFormat="1" applyFont="1" applyBorder="1" applyAlignment="1">
      <alignment horizontal="center" vertical="center" wrapText="1"/>
    </xf>
    <xf numFmtId="41" fontId="0" fillId="0" borderId="9" xfId="24" applyFont="1" applyBorder="1"/>
    <xf numFmtId="0" fontId="2" fillId="0" borderId="9" xfId="15" applyFill="1" applyBorder="1"/>
    <xf numFmtId="0" fontId="2" fillId="2" borderId="9" xfId="15" applyFont="1" applyFill="1" applyBorder="1" applyAlignment="1">
      <alignment horizontal="center" vertical="center" wrapText="1"/>
    </xf>
    <xf numFmtId="0" fontId="2" fillId="2" borderId="9" xfId="15" applyFill="1" applyBorder="1"/>
    <xf numFmtId="0" fontId="2" fillId="2" borderId="9" xfId="15" applyFill="1" applyBorder="1" applyAlignment="1">
      <alignment horizontal="center"/>
    </xf>
    <xf numFmtId="41" fontId="0" fillId="2" borderId="9" xfId="24" applyFont="1" applyFill="1" applyBorder="1"/>
    <xf numFmtId="167" fontId="0" fillId="2" borderId="9" xfId="20" applyNumberFormat="1" applyFont="1" applyFill="1" applyBorder="1" applyAlignment="1">
      <alignment horizontal="center" vertical="center" wrapText="1"/>
    </xf>
    <xf numFmtId="0" fontId="2" fillId="2" borderId="9" xfId="15" applyFill="1" applyBorder="1" applyAlignment="1">
      <alignment vertical="center"/>
    </xf>
    <xf numFmtId="0" fontId="18" fillId="0" borderId="9" xfId="15" applyFont="1" applyBorder="1" applyAlignment="1">
      <alignment horizontal="left" vertical="center"/>
    </xf>
    <xf numFmtId="0" fontId="2" fillId="0" borderId="9" xfId="15" applyFont="1" applyBorder="1"/>
    <xf numFmtId="0" fontId="53" fillId="0" borderId="8" xfId="15" applyFont="1" applyFill="1" applyBorder="1" applyAlignment="1">
      <alignment horizontal="center"/>
    </xf>
    <xf numFmtId="167" fontId="0" fillId="0" borderId="8" xfId="20" applyNumberFormat="1" applyFont="1" applyBorder="1"/>
    <xf numFmtId="167" fontId="37" fillId="0" borderId="8" xfId="15" applyNumberFormat="1" applyFont="1" applyBorder="1"/>
    <xf numFmtId="0" fontId="18" fillId="0" borderId="16" xfId="15" applyFont="1" applyBorder="1" applyAlignment="1">
      <alignment horizontal="center" vertical="top" wrapText="1"/>
    </xf>
    <xf numFmtId="0" fontId="2" fillId="0" borderId="9" xfId="15" applyBorder="1" applyAlignment="1"/>
    <xf numFmtId="0" fontId="2" fillId="0" borderId="8" xfId="15"/>
    <xf numFmtId="167" fontId="0" fillId="9" borderId="9" xfId="20" applyNumberFormat="1" applyFont="1" applyFill="1" applyBorder="1" applyAlignment="1">
      <alignment horizontal="center" vertical="top"/>
    </xf>
    <xf numFmtId="167" fontId="2" fillId="0" borderId="8" xfId="15" applyNumberFormat="1"/>
    <xf numFmtId="167" fontId="0" fillId="0" borderId="8" xfId="20" applyNumberFormat="1" applyFont="1"/>
    <xf numFmtId="0" fontId="18" fillId="0" borderId="16" xfId="15" applyFont="1" applyBorder="1" applyAlignment="1">
      <alignment horizontal="center" vertical="center"/>
    </xf>
    <xf numFmtId="0" fontId="18" fillId="0" borderId="8" xfId="15" applyFont="1" applyAlignment="1">
      <alignment vertical="top"/>
    </xf>
    <xf numFmtId="0" fontId="72" fillId="0" borderId="8" xfId="15" applyFont="1" applyAlignment="1">
      <alignment vertical="top"/>
    </xf>
    <xf numFmtId="0" fontId="2" fillId="0" borderId="9" xfId="15" applyFont="1" applyBorder="1" applyAlignment="1">
      <alignment vertical="center"/>
    </xf>
    <xf numFmtId="41" fontId="2" fillId="0" borderId="9" xfId="15" applyNumberFormat="1" applyFont="1" applyBorder="1" applyAlignment="1">
      <alignment vertical="center"/>
    </xf>
    <xf numFmtId="41" fontId="2" fillId="0" borderId="9" xfId="15" applyNumberFormat="1" applyFont="1" applyBorder="1" applyAlignment="1">
      <alignment horizontal="center" vertical="center"/>
    </xf>
    <xf numFmtId="0" fontId="2" fillId="0" borderId="9" xfId="15" applyFont="1" applyFill="1" applyBorder="1" applyAlignment="1">
      <alignment vertical="center" wrapText="1"/>
    </xf>
    <xf numFmtId="41" fontId="0" fillId="0" borderId="9" xfId="24" applyFont="1" applyBorder="1" applyAlignment="1">
      <alignment vertical="center"/>
    </xf>
    <xf numFmtId="41" fontId="2" fillId="0" borderId="9" xfId="15" applyNumberFormat="1" applyBorder="1"/>
    <xf numFmtId="41" fontId="2" fillId="0" borderId="8" xfId="15" applyNumberFormat="1" applyBorder="1"/>
    <xf numFmtId="0" fontId="2" fillId="10" borderId="9" xfId="15" applyNumberFormat="1" applyFont="1" applyFill="1" applyBorder="1" applyAlignment="1">
      <alignment horizontal="center" vertical="center"/>
    </xf>
    <xf numFmtId="0" fontId="2" fillId="10" borderId="9" xfId="15" applyFont="1" applyFill="1" applyBorder="1" applyAlignment="1">
      <alignment vertical="center"/>
    </xf>
    <xf numFmtId="0" fontId="2" fillId="10" borderId="9" xfId="15" applyFont="1" applyFill="1" applyBorder="1" applyAlignment="1">
      <alignment horizontal="center" vertical="center"/>
    </xf>
    <xf numFmtId="41" fontId="0" fillId="10" borderId="9" xfId="24" applyFont="1" applyFill="1" applyBorder="1" applyAlignment="1">
      <alignment vertical="center"/>
    </xf>
    <xf numFmtId="0" fontId="18" fillId="10" borderId="9" xfId="15" applyFont="1" applyFill="1" applyBorder="1" applyAlignment="1">
      <alignment horizontal="center"/>
    </xf>
    <xf numFmtId="0" fontId="2" fillId="10" borderId="9" xfId="15" applyFill="1" applyBorder="1"/>
    <xf numFmtId="167" fontId="0" fillId="0" borderId="9" xfId="20" applyNumberFormat="1" applyFont="1" applyBorder="1" applyAlignment="1">
      <alignment vertical="center"/>
    </xf>
    <xf numFmtId="167" fontId="2" fillId="0" borderId="9" xfId="15" applyNumberFormat="1" applyBorder="1"/>
    <xf numFmtId="0" fontId="2" fillId="2" borderId="9" xfId="15" applyFill="1" applyBorder="1" applyAlignment="1">
      <alignment horizontal="center" vertical="center"/>
    </xf>
    <xf numFmtId="0" fontId="2" fillId="2" borderId="9" xfId="15" applyFill="1" applyBorder="1" applyAlignment="1">
      <alignment vertical="center" wrapText="1"/>
    </xf>
    <xf numFmtId="167" fontId="0" fillId="2" borderId="9" xfId="20" applyNumberFormat="1" applyFont="1" applyFill="1" applyBorder="1" applyAlignment="1">
      <alignment vertical="center"/>
    </xf>
    <xf numFmtId="0" fontId="2" fillId="2" borderId="8" xfId="15" applyFill="1"/>
    <xf numFmtId="0" fontId="2" fillId="0" borderId="8" xfId="15" applyFill="1" applyAlignment="1">
      <alignment vertical="top"/>
    </xf>
    <xf numFmtId="0" fontId="2" fillId="0" borderId="8" xfId="15" applyFill="1"/>
    <xf numFmtId="0" fontId="18" fillId="0" borderId="16" xfId="15" applyFont="1" applyFill="1" applyBorder="1" applyAlignment="1">
      <alignment horizontal="center" vertical="top"/>
    </xf>
    <xf numFmtId="0" fontId="18" fillId="0" borderId="13" xfId="15" applyFont="1" applyFill="1" applyBorder="1" applyAlignment="1">
      <alignment vertical="top"/>
    </xf>
    <xf numFmtId="0" fontId="18" fillId="0" borderId="9" xfId="15" applyFont="1" applyFill="1" applyBorder="1" applyAlignment="1">
      <alignment horizontal="center" vertical="top"/>
    </xf>
    <xf numFmtId="0" fontId="18" fillId="0" borderId="13" xfId="15" applyFont="1" applyFill="1" applyBorder="1" applyAlignment="1">
      <alignment horizontal="center" vertical="top"/>
    </xf>
    <xf numFmtId="0" fontId="67" fillId="0" borderId="9" xfId="15" applyFont="1" applyFill="1" applyBorder="1" applyAlignment="1">
      <alignment horizontal="center" vertical="top"/>
    </xf>
    <xf numFmtId="2" fontId="0" fillId="0" borderId="9" xfId="16" applyNumberFormat="1" applyFont="1" applyFill="1" applyBorder="1" applyAlignment="1">
      <alignment horizontal="center" vertical="center"/>
    </xf>
    <xf numFmtId="0" fontId="20" fillId="0" borderId="8" xfId="16" applyFont="1" applyFill="1" applyAlignment="1"/>
    <xf numFmtId="168" fontId="2" fillId="0" borderId="9" xfId="15" applyNumberFormat="1" applyBorder="1"/>
    <xf numFmtId="168" fontId="2" fillId="0" borderId="8" xfId="15" applyNumberFormat="1" applyBorder="1"/>
    <xf numFmtId="167" fontId="70" fillId="0" borderId="8" xfId="18" applyNumberFormat="1" applyFont="1" applyBorder="1" applyAlignment="1">
      <alignment horizontal="left" vertical="center" wrapText="1"/>
    </xf>
    <xf numFmtId="0" fontId="73" fillId="0" borderId="9" xfId="18" applyFont="1" applyBorder="1" applyAlignment="1">
      <alignment horizontal="left" vertical="center" wrapText="1"/>
    </xf>
    <xf numFmtId="0" fontId="2" fillId="9" borderId="9" xfId="15" applyFont="1" applyFill="1" applyBorder="1" applyAlignment="1">
      <alignment horizontal="center" vertical="top"/>
    </xf>
    <xf numFmtId="0" fontId="2" fillId="9" borderId="9" xfId="15" applyFill="1" applyBorder="1" applyAlignment="1">
      <alignment horizontal="left" vertical="top"/>
    </xf>
    <xf numFmtId="0" fontId="2" fillId="9" borderId="9" xfId="15" applyFont="1" applyFill="1" applyBorder="1" applyAlignment="1">
      <alignment horizontal="left" vertical="top"/>
    </xf>
    <xf numFmtId="0" fontId="2" fillId="9" borderId="9" xfId="15" applyFill="1" applyBorder="1" applyAlignment="1">
      <alignment horizontal="center" vertical="top"/>
    </xf>
    <xf numFmtId="167" fontId="0" fillId="9" borderId="9" xfId="20" applyNumberFormat="1" applyFont="1" applyFill="1" applyBorder="1" applyAlignment="1">
      <alignment horizontal="right" vertical="top"/>
    </xf>
    <xf numFmtId="0" fontId="20" fillId="2" borderId="16" xfId="0" applyFont="1" applyFill="1" applyBorder="1" applyAlignment="1">
      <alignment vertical="top" wrapText="1"/>
    </xf>
    <xf numFmtId="3" fontId="20" fillId="2" borderId="16" xfId="0" applyNumberFormat="1" applyFont="1" applyFill="1" applyBorder="1" applyAlignment="1">
      <alignment wrapText="1"/>
    </xf>
    <xf numFmtId="3" fontId="20" fillId="2" borderId="16" xfId="0" applyNumberFormat="1" applyFont="1" applyFill="1" applyBorder="1" applyAlignment="1">
      <alignment vertical="top" wrapText="1"/>
    </xf>
    <xf numFmtId="0" fontId="0" fillId="0" borderId="7" xfId="0" applyFont="1" applyBorder="1" applyAlignment="1">
      <alignment horizontal="center" vertical="center" wrapText="1"/>
    </xf>
    <xf numFmtId="3" fontId="20" fillId="2" borderId="7" xfId="0" applyNumberFormat="1" applyFont="1" applyFill="1" applyBorder="1" applyAlignment="1">
      <alignment wrapText="1"/>
    </xf>
    <xf numFmtId="3" fontId="0" fillId="0" borderId="9" xfId="0" applyNumberFormat="1" applyFont="1" applyBorder="1" applyAlignment="1">
      <alignment vertical="center" wrapText="1"/>
    </xf>
    <xf numFmtId="3" fontId="24" fillId="4" borderId="1" xfId="0" applyNumberFormat="1" applyFont="1" applyFill="1" applyBorder="1" applyAlignment="1">
      <alignment horizontal="center" vertical="center" wrapText="1"/>
    </xf>
    <xf numFmtId="0" fontId="25" fillId="2" borderId="6" xfId="0" applyFont="1" applyFill="1" applyBorder="1"/>
    <xf numFmtId="0" fontId="34" fillId="2" borderId="2" xfId="0" applyFont="1" applyFill="1" applyBorder="1" applyAlignment="1">
      <alignment horizontal="center" vertical="center" wrapText="1"/>
    </xf>
    <xf numFmtId="0" fontId="25" fillId="2" borderId="3" xfId="0" applyFont="1" applyFill="1" applyBorder="1"/>
    <xf numFmtId="0" fontId="25" fillId="2" borderId="4" xfId="0" applyFont="1" applyFill="1" applyBorder="1"/>
    <xf numFmtId="0" fontId="29" fillId="2" borderId="2" xfId="0" applyFont="1" applyFill="1" applyBorder="1" applyAlignment="1">
      <alignment vertical="center"/>
    </xf>
    <xf numFmtId="0" fontId="30" fillId="2" borderId="3" xfId="0" applyFont="1" applyFill="1" applyBorder="1"/>
    <xf numFmtId="0" fontId="30" fillId="2" borderId="4" xfId="0" applyFont="1" applyFill="1" applyBorder="1"/>
    <xf numFmtId="0" fontId="30" fillId="2" borderId="6" xfId="0" applyFont="1" applyFill="1" applyBorder="1"/>
    <xf numFmtId="0" fontId="35" fillId="2" borderId="2" xfId="0" applyFont="1" applyFill="1" applyBorder="1" applyAlignment="1">
      <alignment horizontal="center" vertical="center" wrapText="1"/>
    </xf>
    <xf numFmtId="0" fontId="43" fillId="2" borderId="8" xfId="0" applyFont="1" applyFill="1" applyBorder="1" applyAlignment="1">
      <alignment vertical="center"/>
    </xf>
    <xf numFmtId="0" fontId="44" fillId="2" borderId="8" xfId="0" applyFont="1" applyFill="1" applyBorder="1"/>
    <xf numFmtId="0" fontId="24" fillId="2" borderId="2" xfId="0" applyFont="1" applyFill="1" applyBorder="1" applyAlignment="1">
      <alignment vertical="center"/>
    </xf>
    <xf numFmtId="0" fontId="24" fillId="2" borderId="1" xfId="0" applyFont="1" applyFill="1" applyBorder="1" applyAlignment="1">
      <alignment horizontal="center" vertical="center" wrapText="1"/>
    </xf>
    <xf numFmtId="0" fontId="30" fillId="2" borderId="5" xfId="0" applyFont="1" applyFill="1" applyBorder="1"/>
    <xf numFmtId="0" fontId="32" fillId="6"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2" borderId="2" xfId="0" applyFont="1" applyFill="1" applyBorder="1" applyAlignment="1">
      <alignment horizontal="left" vertical="top" wrapText="1"/>
    </xf>
    <xf numFmtId="0" fontId="18" fillId="2" borderId="2" xfId="0" applyFont="1" applyFill="1" applyBorder="1" applyAlignment="1">
      <alignment vertical="center"/>
    </xf>
    <xf numFmtId="0" fontId="26" fillId="2" borderId="3" xfId="0" applyFont="1" applyFill="1" applyBorder="1"/>
    <xf numFmtId="0" fontId="26" fillId="2" borderId="4" xfId="0" applyFont="1" applyFill="1" applyBorder="1"/>
    <xf numFmtId="0" fontId="41" fillId="2" borderId="2" xfId="0" applyFont="1" applyFill="1" applyBorder="1" applyAlignment="1">
      <alignment vertical="center"/>
    </xf>
    <xf numFmtId="0" fontId="18" fillId="2" borderId="9" xfId="9" applyFont="1" applyFill="1" applyBorder="1" applyAlignment="1">
      <alignment horizontal="center" vertical="center"/>
    </xf>
    <xf numFmtId="0" fontId="24" fillId="2" borderId="2" xfId="0" applyFont="1" applyFill="1" applyBorder="1" applyAlignment="1">
      <alignment horizontal="center" vertical="center" wrapText="1"/>
    </xf>
    <xf numFmtId="3" fontId="24" fillId="4" borderId="2"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2" borderId="5" xfId="0" applyFont="1" applyFill="1" applyBorder="1"/>
    <xf numFmtId="0" fontId="10" fillId="2" borderId="6" xfId="0" applyFont="1" applyFill="1" applyBorder="1"/>
    <xf numFmtId="0" fontId="8" fillId="2" borderId="1" xfId="0" applyFont="1" applyFill="1" applyBorder="1" applyAlignment="1">
      <alignment horizontal="center" vertical="center" wrapText="1"/>
    </xf>
    <xf numFmtId="0" fontId="25" fillId="2" borderId="5" xfId="0" applyFont="1" applyFill="1" applyBorder="1"/>
    <xf numFmtId="0" fontId="12" fillId="2" borderId="2" xfId="0" applyFont="1" applyFill="1" applyBorder="1" applyAlignment="1">
      <alignment vertical="center"/>
    </xf>
    <xf numFmtId="0" fontId="10" fillId="2" borderId="3" xfId="0" applyFont="1" applyFill="1" applyBorder="1"/>
    <xf numFmtId="0" fontId="10" fillId="2" borderId="4" xfId="0" applyFont="1" applyFill="1" applyBorder="1"/>
    <xf numFmtId="3" fontId="8" fillId="4" borderId="1"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0" fontId="29" fillId="2" borderId="19" xfId="0" applyFont="1" applyFill="1" applyBorder="1" applyAlignment="1">
      <alignment vertical="center"/>
    </xf>
    <xf numFmtId="0" fontId="25" fillId="2" borderId="19" xfId="0" applyFont="1" applyFill="1" applyBorder="1"/>
    <xf numFmtId="0" fontId="24" fillId="6" borderId="1" xfId="0" applyFont="1" applyFill="1" applyBorder="1" applyAlignment="1">
      <alignment horizontal="center" vertical="center" wrapText="1"/>
    </xf>
    <xf numFmtId="0" fontId="24" fillId="2" borderId="15" xfId="0" applyFont="1" applyFill="1" applyBorder="1" applyAlignment="1">
      <alignment horizontal="left" vertical="top" wrapText="1"/>
    </xf>
    <xf numFmtId="0" fontId="24" fillId="2" borderId="25" xfId="0" applyFont="1" applyFill="1" applyBorder="1" applyAlignment="1">
      <alignment horizontal="left" vertical="top" wrapText="1"/>
    </xf>
    <xf numFmtId="0" fontId="8" fillId="2" borderId="2" xfId="0" applyFont="1" applyFill="1" applyBorder="1" applyAlignment="1">
      <alignment vertical="center"/>
    </xf>
    <xf numFmtId="0" fontId="18" fillId="0" borderId="9" xfId="15" applyFont="1" applyBorder="1" applyAlignment="1">
      <alignment horizontal="center" vertical="top"/>
    </xf>
    <xf numFmtId="0" fontId="53" fillId="0" borderId="9" xfId="15" applyFont="1" applyFill="1" applyBorder="1" applyAlignment="1">
      <alignment horizontal="center"/>
    </xf>
    <xf numFmtId="0" fontId="18" fillId="0" borderId="9" xfId="15" applyFont="1" applyFill="1" applyBorder="1" applyAlignment="1">
      <alignment horizontal="center" vertical="top"/>
    </xf>
    <xf numFmtId="0" fontId="66" fillId="0" borderId="8" xfId="15" applyFont="1" applyFill="1" applyBorder="1" applyAlignment="1">
      <alignment horizontal="center" vertical="top"/>
    </xf>
    <xf numFmtId="0" fontId="66" fillId="0" borderId="30" xfId="15" applyFont="1" applyFill="1" applyBorder="1" applyAlignment="1">
      <alignment horizontal="center" vertical="top"/>
    </xf>
    <xf numFmtId="0" fontId="52" fillId="0" borderId="8" xfId="12" applyFont="1" applyAlignment="1">
      <alignment horizontal="center"/>
    </xf>
    <xf numFmtId="0" fontId="49" fillId="0" borderId="9" xfId="12" applyFont="1" applyBorder="1" applyAlignment="1">
      <alignment horizontal="center" vertical="center" wrapText="1"/>
    </xf>
    <xf numFmtId="0" fontId="49" fillId="0" borderId="16" xfId="12" applyFont="1" applyBorder="1" applyAlignment="1">
      <alignment horizontal="center" vertical="center" wrapText="1"/>
    </xf>
    <xf numFmtId="0" fontId="49" fillId="0" borderId="13" xfId="12" applyFont="1" applyBorder="1" applyAlignment="1">
      <alignment horizontal="center" vertical="center" wrapText="1"/>
    </xf>
    <xf numFmtId="0" fontId="49" fillId="0" borderId="9" xfId="12" applyFont="1" applyBorder="1" applyAlignment="1">
      <alignment horizontal="center" vertical="center"/>
    </xf>
    <xf numFmtId="0" fontId="49" fillId="0" borderId="8" xfId="12" applyFont="1" applyAlignment="1">
      <alignment horizontal="center" vertical="center" wrapText="1"/>
    </xf>
    <xf numFmtId="0" fontId="3" fillId="0" borderId="8" xfId="12"/>
    <xf numFmtId="49" fontId="56" fillId="7" borderId="11" xfId="13" applyNumberFormat="1" applyFont="1" applyFill="1" applyBorder="1" applyAlignment="1">
      <alignment horizontal="left" vertical="center" wrapText="1"/>
    </xf>
    <xf numFmtId="49" fontId="56" fillId="7" borderId="22" xfId="13" applyNumberFormat="1" applyFont="1" applyFill="1" applyBorder="1" applyAlignment="1">
      <alignment horizontal="left" vertical="center" wrapText="1"/>
    </xf>
    <xf numFmtId="49" fontId="56" fillId="7" borderId="14" xfId="13" applyNumberFormat="1" applyFont="1" applyFill="1" applyBorder="1" applyAlignment="1">
      <alignment horizontal="left" vertical="center" wrapText="1"/>
    </xf>
    <xf numFmtId="49" fontId="56" fillId="7" borderId="11" xfId="13" applyNumberFormat="1" applyFont="1" applyFill="1" applyBorder="1" applyAlignment="1">
      <alignment vertical="center" wrapText="1"/>
    </xf>
    <xf numFmtId="49" fontId="56" fillId="7" borderId="22" xfId="13" applyNumberFormat="1" applyFont="1" applyFill="1" applyBorder="1" applyAlignment="1">
      <alignment vertical="center" wrapText="1"/>
    </xf>
    <xf numFmtId="49" fontId="56" fillId="7" borderId="14" xfId="13" applyNumberFormat="1" applyFont="1" applyFill="1" applyBorder="1" applyAlignment="1">
      <alignment vertical="center" wrapText="1"/>
    </xf>
    <xf numFmtId="49" fontId="49" fillId="8" borderId="11" xfId="13" applyNumberFormat="1" applyFont="1" applyFill="1" applyBorder="1" applyAlignment="1">
      <alignment horizontal="left" vertical="center" wrapText="1"/>
    </xf>
    <xf numFmtId="49" fontId="49" fillId="8" borderId="22" xfId="13" applyNumberFormat="1" applyFont="1" applyFill="1" applyBorder="1" applyAlignment="1">
      <alignment horizontal="left" vertical="center" wrapText="1"/>
    </xf>
    <xf numFmtId="49" fontId="49" fillId="8" borderId="14" xfId="13" applyNumberFormat="1" applyFont="1" applyFill="1" applyBorder="1" applyAlignment="1">
      <alignment horizontal="left" vertical="center" wrapText="1"/>
    </xf>
    <xf numFmtId="49" fontId="56" fillId="7" borderId="11" xfId="13" applyNumberFormat="1" applyFont="1" applyFill="1" applyBorder="1" applyAlignment="1">
      <alignment vertical="top" wrapText="1"/>
    </xf>
    <xf numFmtId="49" fontId="56" fillId="7" borderId="22" xfId="13" applyNumberFormat="1" applyFont="1" applyFill="1" applyBorder="1" applyAlignment="1">
      <alignment vertical="top" wrapText="1"/>
    </xf>
    <xf numFmtId="49" fontId="56" fillId="7" borderId="14" xfId="13" applyNumberFormat="1" applyFont="1" applyFill="1" applyBorder="1" applyAlignment="1">
      <alignment vertical="top" wrapText="1"/>
    </xf>
    <xf numFmtId="49" fontId="49" fillId="8" borderId="11" xfId="13" applyNumberFormat="1" applyFont="1" applyFill="1" applyBorder="1" applyAlignment="1">
      <alignment horizontal="left" vertical="top" wrapText="1"/>
    </xf>
    <xf numFmtId="49" fontId="49" fillId="8" borderId="22" xfId="13" applyNumberFormat="1" applyFont="1" applyFill="1" applyBorder="1" applyAlignment="1">
      <alignment horizontal="left" vertical="top" wrapText="1"/>
    </xf>
    <xf numFmtId="49" fontId="49" fillId="8" borderId="14" xfId="13" applyNumberFormat="1" applyFont="1" applyFill="1" applyBorder="1" applyAlignment="1">
      <alignment horizontal="left" vertical="top" wrapText="1"/>
    </xf>
    <xf numFmtId="0" fontId="60" fillId="0" borderId="11" xfId="12" applyFont="1" applyBorder="1" applyAlignment="1">
      <alignment horizontal="right" vertical="center" wrapText="1"/>
    </xf>
    <xf numFmtId="0" fontId="49" fillId="0" borderId="22" xfId="12" applyFont="1" applyBorder="1" applyAlignment="1">
      <alignment horizontal="right" vertical="center" wrapText="1"/>
    </xf>
    <xf numFmtId="0" fontId="49" fillId="0" borderId="14" xfId="12" applyFont="1" applyBorder="1" applyAlignment="1">
      <alignment horizontal="right" vertical="center" wrapText="1"/>
    </xf>
    <xf numFmtId="0" fontId="64" fillId="0" borderId="8" xfId="12" applyFont="1" applyAlignment="1">
      <alignment horizontal="center" vertical="top" wrapText="1"/>
    </xf>
    <xf numFmtId="0" fontId="60" fillId="0" borderId="9" xfId="12" applyFont="1" applyBorder="1" applyAlignment="1">
      <alignment horizontal="center" vertical="top" wrapText="1"/>
    </xf>
    <xf numFmtId="3" fontId="49" fillId="0" borderId="8" xfId="12" applyNumberFormat="1" applyFont="1" applyAlignment="1">
      <alignment horizontal="center" vertical="center" wrapText="1"/>
    </xf>
    <xf numFmtId="165" fontId="49" fillId="0" borderId="9" xfId="14" applyFont="1" applyBorder="1" applyAlignment="1">
      <alignment horizontal="left" vertical="top" wrapText="1"/>
    </xf>
    <xf numFmtId="165" fontId="56" fillId="0" borderId="9" xfId="14" applyFont="1" applyBorder="1" applyAlignment="1">
      <alignment horizontal="right" vertical="center" wrapText="1"/>
    </xf>
    <xf numFmtId="0" fontId="37" fillId="0" borderId="8" xfId="12" applyFont="1" applyAlignment="1">
      <alignment horizontal="center"/>
    </xf>
    <xf numFmtId="0" fontId="65" fillId="0" borderId="8" xfId="12" applyFont="1" applyAlignment="1">
      <alignment horizontal="center"/>
    </xf>
    <xf numFmtId="0" fontId="49" fillId="0" borderId="8" xfId="12" applyFont="1" applyAlignment="1">
      <alignment horizontal="center" vertical="center"/>
    </xf>
    <xf numFmtId="0" fontId="51" fillId="0" borderId="8" xfId="12" applyFont="1" applyAlignment="1">
      <alignment horizontal="center"/>
    </xf>
    <xf numFmtId="0" fontId="25" fillId="11" borderId="1" xfId="0" applyFont="1" applyFill="1" applyBorder="1" applyAlignment="1">
      <alignment vertical="top" wrapText="1"/>
    </xf>
    <xf numFmtId="0" fontId="25" fillId="11" borderId="7" xfId="0" applyFont="1" applyFill="1" applyBorder="1" applyAlignment="1">
      <alignment horizontal="center" vertical="top" wrapText="1"/>
    </xf>
    <xf numFmtId="0" fontId="30" fillId="11" borderId="7" xfId="0" applyFont="1" applyFill="1" applyBorder="1"/>
    <xf numFmtId="3" fontId="25" fillId="11" borderId="1" xfId="0" applyNumberFormat="1" applyFont="1" applyFill="1" applyBorder="1" applyAlignment="1">
      <alignment vertical="top" wrapText="1"/>
    </xf>
    <xf numFmtId="0" fontId="47" fillId="11" borderId="0" xfId="0" applyFont="1" applyFill="1" applyAlignment="1">
      <alignment wrapText="1"/>
    </xf>
    <xf numFmtId="0" fontId="19" fillId="11" borderId="0" xfId="0" applyFont="1" applyFill="1"/>
    <xf numFmtId="0" fontId="25" fillId="12" borderId="1" xfId="0" applyFont="1" applyFill="1" applyBorder="1" applyAlignment="1">
      <alignment vertical="top" wrapText="1"/>
    </xf>
    <xf numFmtId="0" fontId="25" fillId="12" borderId="7" xfId="0" applyFont="1" applyFill="1" applyBorder="1" applyAlignment="1">
      <alignment horizontal="center" vertical="top" wrapText="1"/>
    </xf>
    <xf numFmtId="0" fontId="30" fillId="12" borderId="7" xfId="0" applyFont="1" applyFill="1" applyBorder="1"/>
    <xf numFmtId="3" fontId="25" fillId="12" borderId="1" xfId="0" applyNumberFormat="1" applyFont="1" applyFill="1" applyBorder="1" applyAlignment="1">
      <alignment vertical="top" wrapText="1"/>
    </xf>
    <xf numFmtId="0" fontId="47" fillId="12" borderId="0" xfId="0" applyFont="1" applyFill="1" applyAlignment="1">
      <alignment wrapText="1"/>
    </xf>
    <xf numFmtId="0" fontId="19" fillId="12" borderId="0" xfId="0" applyFont="1" applyFill="1"/>
    <xf numFmtId="0" fontId="25" fillId="12" borderId="7" xfId="0" applyFont="1" applyFill="1" applyBorder="1" applyAlignment="1">
      <alignment vertical="top" wrapText="1"/>
    </xf>
    <xf numFmtId="164" fontId="25" fillId="11" borderId="1" xfId="2" applyFont="1" applyFill="1" applyBorder="1" applyAlignment="1">
      <alignment vertical="top" wrapText="1"/>
    </xf>
    <xf numFmtId="0" fontId="25" fillId="11" borderId="7" xfId="0" applyFont="1" applyFill="1" applyBorder="1" applyAlignment="1">
      <alignment vertical="top" wrapText="1"/>
    </xf>
    <xf numFmtId="0" fontId="4" fillId="11" borderId="1" xfId="0" applyFont="1" applyFill="1" applyBorder="1" applyAlignment="1">
      <alignment horizontal="left" vertical="center" wrapText="1"/>
    </xf>
    <xf numFmtId="3" fontId="25" fillId="11" borderId="7" xfId="0" applyNumberFormat="1" applyFont="1" applyFill="1" applyBorder="1" applyAlignment="1">
      <alignment vertical="top" wrapText="1"/>
    </xf>
    <xf numFmtId="0" fontId="4" fillId="11" borderId="1" xfId="0" applyFont="1" applyFill="1" applyBorder="1" applyAlignment="1">
      <alignment horizontal="left"/>
    </xf>
    <xf numFmtId="0" fontId="25" fillId="11" borderId="9" xfId="0" applyFont="1" applyFill="1" applyBorder="1" applyAlignment="1">
      <alignment vertical="top" wrapText="1"/>
    </xf>
    <xf numFmtId="0" fontId="25" fillId="11" borderId="1" xfId="0" quotePrefix="1" applyFont="1" applyFill="1" applyBorder="1" applyAlignment="1">
      <alignment vertical="top" wrapText="1"/>
    </xf>
    <xf numFmtId="0" fontId="25" fillId="11" borderId="1" xfId="0" applyFont="1" applyFill="1" applyBorder="1" applyAlignment="1">
      <alignment horizontal="left" vertical="top" wrapText="1"/>
    </xf>
    <xf numFmtId="0" fontId="25" fillId="11" borderId="7" xfId="3" applyFont="1" applyFill="1" applyBorder="1" applyAlignment="1">
      <alignment horizontal="center" vertical="center" wrapText="1"/>
    </xf>
    <xf numFmtId="3" fontId="25" fillId="11" borderId="1" xfId="0" quotePrefix="1" applyNumberFormat="1" applyFont="1" applyFill="1" applyBorder="1" applyAlignment="1">
      <alignment vertical="top" wrapText="1"/>
    </xf>
    <xf numFmtId="0" fontId="25" fillId="13" borderId="1" xfId="0" applyFont="1" applyFill="1" applyBorder="1" applyAlignment="1">
      <alignment vertical="top" wrapText="1"/>
    </xf>
    <xf numFmtId="0" fontId="20" fillId="13" borderId="10" xfId="0" applyFont="1" applyFill="1" applyBorder="1" applyAlignment="1">
      <alignment vertical="top" wrapText="1"/>
    </xf>
    <xf numFmtId="0" fontId="20" fillId="13" borderId="9" xfId="0" applyFont="1" applyFill="1" applyBorder="1" applyAlignment="1">
      <alignment wrapText="1"/>
    </xf>
    <xf numFmtId="0" fontId="20" fillId="13" borderId="20" xfId="0" applyFont="1" applyFill="1" applyBorder="1" applyAlignment="1">
      <alignment vertical="top" wrapText="1"/>
    </xf>
    <xf numFmtId="0" fontId="20" fillId="13" borderId="0" xfId="0" applyFont="1" applyFill="1" applyAlignment="1">
      <alignment wrapText="1"/>
    </xf>
    <xf numFmtId="0" fontId="21" fillId="13" borderId="7" xfId="0" applyFont="1" applyFill="1" applyBorder="1" applyAlignment="1">
      <alignment vertical="center" wrapText="1"/>
    </xf>
    <xf numFmtId="0" fontId="20" fillId="13" borderId="6" xfId="0" applyFont="1" applyFill="1" applyBorder="1" applyAlignment="1">
      <alignment vertical="top" wrapText="1"/>
    </xf>
    <xf numFmtId="3" fontId="20" fillId="13" borderId="6" xfId="0" applyNumberFormat="1" applyFont="1" applyFill="1" applyBorder="1" applyAlignment="1">
      <alignment vertical="top" wrapText="1"/>
    </xf>
    <xf numFmtId="3" fontId="20" fillId="13" borderId="6" xfId="0" applyNumberFormat="1" applyFont="1" applyFill="1" applyBorder="1" applyAlignment="1">
      <alignment horizontal="right" vertical="top" wrapText="1"/>
    </xf>
    <xf numFmtId="0" fontId="20" fillId="13" borderId="0" xfId="0" applyFont="1" applyFill="1" applyAlignment="1">
      <alignment vertical="top"/>
    </xf>
    <xf numFmtId="0" fontId="20" fillId="13" borderId="0" xfId="0" applyFont="1" applyFill="1"/>
    <xf numFmtId="0" fontId="25" fillId="13" borderId="7" xfId="0" applyFont="1" applyFill="1" applyBorder="1" applyAlignment="1">
      <alignment horizontal="center" vertical="top" wrapText="1"/>
    </xf>
    <xf numFmtId="0" fontId="25" fillId="13" borderId="7" xfId="0" applyFont="1" applyFill="1" applyBorder="1"/>
    <xf numFmtId="0" fontId="25" fillId="13" borderId="7" xfId="0" applyFont="1" applyFill="1" applyBorder="1" applyAlignment="1">
      <alignment vertical="top" wrapText="1"/>
    </xf>
    <xf numFmtId="0" fontId="47" fillId="13" borderId="0" xfId="0" applyFont="1" applyFill="1" applyAlignment="1">
      <alignment wrapText="1"/>
    </xf>
    <xf numFmtId="0" fontId="20" fillId="13" borderId="23" xfId="0" applyFont="1" applyFill="1" applyBorder="1" applyAlignment="1">
      <alignment vertical="top" wrapText="1"/>
    </xf>
    <xf numFmtId="0" fontId="20" fillId="13" borderId="29" xfId="0" applyFont="1" applyFill="1" applyBorder="1" applyAlignment="1">
      <alignment vertical="top" wrapText="1"/>
    </xf>
    <xf numFmtId="0" fontId="20" fillId="13" borderId="1" xfId="0" applyFont="1" applyFill="1" applyBorder="1" applyAlignment="1">
      <alignment vertical="top" wrapText="1"/>
    </xf>
    <xf numFmtId="0" fontId="20" fillId="13" borderId="7" xfId="0" applyFont="1" applyFill="1" applyBorder="1" applyAlignment="1">
      <alignment vertical="top" wrapText="1"/>
    </xf>
    <xf numFmtId="0" fontId="20" fillId="13" borderId="5" xfId="0" applyFont="1" applyFill="1" applyBorder="1" applyAlignment="1">
      <alignment vertical="top" wrapText="1"/>
    </xf>
    <xf numFmtId="3" fontId="20" fillId="13" borderId="1" xfId="0" applyNumberFormat="1" applyFont="1" applyFill="1" applyBorder="1" applyAlignment="1">
      <alignment wrapText="1"/>
    </xf>
    <xf numFmtId="0" fontId="25" fillId="14" borderId="1" xfId="0" applyFont="1" applyFill="1" applyBorder="1" applyAlignment="1">
      <alignment vertical="top" wrapText="1"/>
    </xf>
    <xf numFmtId="0" fontId="25" fillId="14" borderId="7" xfId="0" applyFont="1" applyFill="1" applyBorder="1" applyAlignment="1">
      <alignment horizontal="center" vertical="top" wrapText="1"/>
    </xf>
    <xf numFmtId="0" fontId="30" fillId="14" borderId="7" xfId="0" applyFont="1" applyFill="1" applyBorder="1"/>
    <xf numFmtId="3" fontId="25" fillId="14" borderId="1" xfId="0" applyNumberFormat="1" applyFont="1" applyFill="1" applyBorder="1" applyAlignment="1">
      <alignment vertical="top" wrapText="1"/>
    </xf>
    <xf numFmtId="0" fontId="47" fillId="14" borderId="0" xfId="0" applyFont="1" applyFill="1" applyAlignment="1">
      <alignment wrapText="1"/>
    </xf>
    <xf numFmtId="0" fontId="19" fillId="14" borderId="0" xfId="0" applyFont="1" applyFill="1"/>
    <xf numFmtId="0" fontId="25" fillId="14" borderId="1" xfId="3" applyFont="1" applyFill="1" applyBorder="1" applyAlignment="1">
      <alignment horizontal="center" vertical="center" wrapText="1"/>
    </xf>
    <xf numFmtId="0" fontId="25" fillId="14" borderId="1" xfId="3" applyFont="1" applyFill="1" applyBorder="1" applyAlignment="1">
      <alignment horizontal="left" vertical="center" wrapText="1"/>
    </xf>
    <xf numFmtId="0" fontId="25" fillId="14" borderId="7" xfId="3" applyFont="1" applyFill="1" applyBorder="1" applyAlignment="1">
      <alignment horizontal="center" vertical="center" wrapText="1"/>
    </xf>
    <xf numFmtId="3" fontId="25" fillId="14" borderId="1" xfId="3" applyNumberFormat="1" applyFont="1" applyFill="1" applyBorder="1" applyAlignment="1">
      <alignment horizontal="center" vertical="center" wrapText="1"/>
    </xf>
    <xf numFmtId="0" fontId="25" fillId="14" borderId="7" xfId="0" applyFont="1" applyFill="1" applyBorder="1"/>
    <xf numFmtId="0" fontId="20" fillId="14" borderId="0" xfId="0" applyFont="1" applyFill="1"/>
  </cellXfs>
  <cellStyles count="26">
    <cellStyle name="Comma" xfId="1" builtinId="3"/>
    <cellStyle name="Comma [0]" xfId="2" builtinId="6"/>
    <cellStyle name="Comma [0] 2" xfId="10"/>
    <cellStyle name="Comma [0] 2 2" xfId="7"/>
    <cellStyle name="Comma [0] 2 3" xfId="24"/>
    <cellStyle name="Comma [0] 3" xfId="13"/>
    <cellStyle name="Comma [0] 4" xfId="21"/>
    <cellStyle name="Comma 2" xfId="14"/>
    <cellStyle name="Comma 2 2" xfId="25"/>
    <cellStyle name="Comma 3" xfId="19"/>
    <cellStyle name="Comma 4" xfId="6"/>
    <cellStyle name="Comma 5" xfId="20"/>
    <cellStyle name="Comma 5 2" xfId="22"/>
    <cellStyle name="Hyperlink" xfId="4" builtinId="8"/>
    <cellStyle name="Normal" xfId="0" builtinId="0"/>
    <cellStyle name="Normal 2" xfId="3"/>
    <cellStyle name="Normal 2 2" xfId="16"/>
    <cellStyle name="Normal 2 2 2" xfId="17"/>
    <cellStyle name="Normal 2 3" xfId="11"/>
    <cellStyle name="Normal 3" xfId="12"/>
    <cellStyle name="Normal 3 2" xfId="23"/>
    <cellStyle name="Normal 3 3" xfId="8"/>
    <cellStyle name="Normal 4" xfId="9"/>
    <cellStyle name="Normal 4 2" xfId="18"/>
    <cellStyle name="Normal 5" xfId="5"/>
    <cellStyle name="Normal 6"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916781</xdr:colOff>
      <xdr:row>95</xdr:row>
      <xdr:rowOff>135732</xdr:rowOff>
    </xdr:from>
    <xdr:ext cx="1166814" cy="769143"/>
    <xdr:pic>
      <xdr:nvPicPr>
        <xdr:cNvPr id="2" name="image1.png">
          <a:extLst>
            <a:ext uri="{FF2B5EF4-FFF2-40B4-BE49-F238E27FC236}">
              <a16:creationId xmlns="" xmlns:a16="http://schemas.microsoft.com/office/drawing/2014/main" id="{1AD55B41-6DF3-4802-A995-734C5C9F2B57}"/>
            </a:ext>
          </a:extLst>
        </xdr:cNvPr>
        <xdr:cNvPicPr preferRelativeResize="0"/>
      </xdr:nvPicPr>
      <xdr:blipFill>
        <a:blip xmlns:r="http://schemas.openxmlformats.org/officeDocument/2006/relationships" r:embed="rId1" cstate="print"/>
        <a:stretch>
          <a:fillRect/>
        </a:stretch>
      </xdr:blipFill>
      <xdr:spPr>
        <a:xfrm>
          <a:off x="7403306" y="52685157"/>
          <a:ext cx="1166814" cy="769143"/>
        </a:xfrm>
        <a:prstGeom prst="rect">
          <a:avLst/>
        </a:prstGeom>
        <a:noFill/>
      </xdr:spPr>
    </xdr:pic>
    <xdr:clientData fLocksWithSheet="0"/>
  </xdr:oneCellAnchor>
  <xdr:twoCellAnchor editAs="oneCell">
    <xdr:from>
      <xdr:col>4</xdr:col>
      <xdr:colOff>1462256</xdr:colOff>
      <xdr:row>94</xdr:row>
      <xdr:rowOff>62894</xdr:rowOff>
    </xdr:from>
    <xdr:to>
      <xdr:col>5</xdr:col>
      <xdr:colOff>1055667</xdr:colOff>
      <xdr:row>100</xdr:row>
      <xdr:rowOff>70295</xdr:rowOff>
    </xdr:to>
    <xdr:pic>
      <xdr:nvPicPr>
        <xdr:cNvPr id="3" name="Picture 2">
          <a:extLst>
            <a:ext uri="{FF2B5EF4-FFF2-40B4-BE49-F238E27FC236}">
              <a16:creationId xmlns="" xmlns:a16="http://schemas.microsoft.com/office/drawing/2014/main" id="{E382E625-6A71-47AC-B2F6-8F1E43CEC66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376321">
          <a:off x="6100931" y="52412294"/>
          <a:ext cx="1441261" cy="1255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203%2003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mantren"/>
      <sheetName val="Kemantren (2)"/>
      <sheetName val="KESBANG"/>
      <sheetName val="DIN PAR"/>
      <sheetName val="DINKES"/>
      <sheetName val="DISPORA"/>
      <sheetName val="DPUPKP"/>
      <sheetName val="DINSOS"/>
      <sheetName val="DP3AP2KB"/>
      <sheetName val="DLH"/>
      <sheetName val="DISKOP UMKM"/>
      <sheetName val="BPBD"/>
      <sheetName val="DISPERTANIAN"/>
      <sheetName val="DISBUD DIY"/>
      <sheetName val="Demangan"/>
      <sheetName val="Demangan (2)"/>
      <sheetName val="Terban"/>
      <sheetName val="Terban (2)"/>
      <sheetName val="Kotabaru"/>
      <sheetName val="Kotabaru (2)"/>
      <sheetName val="Baciro"/>
      <sheetName val="Baciro (2)"/>
      <sheetName val="KLITREN"/>
      <sheetName val="KLITREN (2)"/>
      <sheetName val="Sheet6"/>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F6">
            <v>0</v>
          </cell>
        </row>
        <row r="23">
          <cell r="F23">
            <v>40000</v>
          </cell>
        </row>
        <row r="41">
          <cell r="F41">
            <v>2000000</v>
          </cell>
        </row>
        <row r="87">
          <cell r="F87">
            <v>0</v>
          </cell>
        </row>
        <row r="98">
          <cell r="F98">
            <v>0</v>
          </cell>
        </row>
        <row r="151">
          <cell r="F151">
            <v>2400000</v>
          </cell>
        </row>
        <row r="168">
          <cell r="F168">
            <v>0</v>
          </cell>
        </row>
        <row r="178">
          <cell r="F178">
            <v>0</v>
          </cell>
        </row>
        <row r="204">
          <cell r="F204">
            <v>0</v>
          </cell>
        </row>
        <row r="222">
          <cell r="F222">
            <v>0</v>
          </cell>
        </row>
        <row r="232">
          <cell r="F232">
            <v>0</v>
          </cell>
        </row>
        <row r="241">
          <cell r="F241">
            <v>0</v>
          </cell>
        </row>
        <row r="250">
          <cell r="F250">
            <v>0</v>
          </cell>
        </row>
        <row r="267">
          <cell r="F267">
            <v>0</v>
          </cell>
        </row>
        <row r="285">
          <cell r="F285">
            <v>2000000</v>
          </cell>
        </row>
        <row r="295">
          <cell r="F295">
            <v>180000</v>
          </cell>
        </row>
        <row r="304">
          <cell r="F304">
            <v>150000</v>
          </cell>
        </row>
        <row r="315">
          <cell r="F315">
            <v>500000</v>
          </cell>
        </row>
        <row r="325">
          <cell r="F325">
            <v>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4xsetahunx7@600%20rb"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1298"/>
  <sheetViews>
    <sheetView tabSelected="1" view="pageBreakPreview" topLeftCell="A5" zoomScale="120" zoomScaleNormal="80" zoomScaleSheetLayoutView="120" workbookViewId="0">
      <pane ySplit="1" topLeftCell="A33" activePane="bottomLeft" state="frozen"/>
      <selection activeCell="A5" sqref="A5"/>
      <selection pane="bottomLeft" activeCell="A36" sqref="A36:XFD36"/>
    </sheetView>
  </sheetViews>
  <sheetFormatPr defaultColWidth="12.625" defaultRowHeight="15" customHeight="1" x14ac:dyDescent="0.2"/>
  <cols>
    <col min="1" max="1" width="6.125" style="91" customWidth="1"/>
    <col min="2" max="2" width="9.125" style="91" customWidth="1"/>
    <col min="3" max="3" width="28.25" style="91" customWidth="1"/>
    <col min="4" max="4" width="28.875" style="91" customWidth="1"/>
    <col min="5" max="5" width="26" style="91" hidden="1" customWidth="1"/>
    <col min="6" max="6" width="17.375" style="91" hidden="1" customWidth="1"/>
    <col min="7" max="11" width="4" style="91" hidden="1" customWidth="1"/>
    <col min="12" max="12" width="12.625" style="91" hidden="1" customWidth="1"/>
    <col min="13" max="13" width="10" style="91" hidden="1" customWidth="1"/>
    <col min="14" max="14" width="13.5" style="91" hidden="1" customWidth="1"/>
    <col min="15" max="15" width="14.5" style="91" customWidth="1"/>
    <col min="16" max="16" width="13.375" style="91" customWidth="1"/>
    <col min="17" max="17" width="14.125" style="91" customWidth="1"/>
    <col min="18" max="16384" width="12.625" style="91"/>
  </cols>
  <sheetData>
    <row r="1" spans="1:26" ht="16.5" customHeight="1" x14ac:dyDescent="0.35">
      <c r="A1" s="88"/>
      <c r="B1" s="89"/>
      <c r="C1" s="88"/>
      <c r="D1" s="89"/>
      <c r="E1" s="89"/>
      <c r="F1" s="89"/>
      <c r="G1" s="89"/>
      <c r="H1" s="89"/>
      <c r="I1" s="89"/>
      <c r="J1" s="89"/>
      <c r="K1" s="89"/>
      <c r="L1" s="89"/>
      <c r="M1" s="89"/>
      <c r="N1" s="90"/>
      <c r="O1" s="90"/>
      <c r="P1" s="90"/>
      <c r="Q1" s="89"/>
    </row>
    <row r="2" spans="1:26" ht="19.5" customHeight="1" x14ac:dyDescent="0.25">
      <c r="A2" s="92" t="s">
        <v>42</v>
      </c>
      <c r="E2" s="89"/>
      <c r="F2" s="89"/>
      <c r="G2" s="89"/>
      <c r="H2" s="89"/>
      <c r="I2" s="89"/>
      <c r="J2" s="89"/>
      <c r="K2" s="89"/>
      <c r="L2" s="89"/>
      <c r="M2" s="89"/>
      <c r="N2" s="90"/>
      <c r="O2" s="90"/>
      <c r="P2" s="90"/>
      <c r="Q2" s="89"/>
    </row>
    <row r="3" spans="1:26" x14ac:dyDescent="0.25">
      <c r="A3" s="89"/>
      <c r="B3" s="89"/>
      <c r="C3" s="89"/>
      <c r="D3" s="89"/>
      <c r="E3" s="89"/>
      <c r="F3" s="89"/>
      <c r="G3" s="89"/>
      <c r="H3" s="89"/>
      <c r="I3" s="89"/>
      <c r="J3" s="89"/>
      <c r="K3" s="89"/>
      <c r="L3" s="89"/>
      <c r="M3" s="89"/>
      <c r="N3" s="90"/>
      <c r="O3" s="90"/>
      <c r="P3" s="90"/>
      <c r="Q3" s="89"/>
    </row>
    <row r="4" spans="1:26" ht="15" customHeight="1" x14ac:dyDescent="0.2">
      <c r="A4" s="851" t="s">
        <v>0</v>
      </c>
      <c r="B4" s="858" t="s">
        <v>1</v>
      </c>
      <c r="C4" s="848" t="s">
        <v>2</v>
      </c>
      <c r="D4" s="848" t="s">
        <v>3</v>
      </c>
      <c r="E4" s="851" t="s">
        <v>4</v>
      </c>
      <c r="F4" s="859" t="s">
        <v>5</v>
      </c>
      <c r="G4" s="854"/>
      <c r="H4" s="854"/>
      <c r="I4" s="854"/>
      <c r="J4" s="854"/>
      <c r="K4" s="855"/>
      <c r="L4" s="848" t="s">
        <v>6</v>
      </c>
      <c r="M4" s="848" t="s">
        <v>7</v>
      </c>
      <c r="N4" s="860" t="s">
        <v>8</v>
      </c>
      <c r="O4" s="854"/>
      <c r="P4" s="855"/>
      <c r="Q4" s="851" t="s">
        <v>9</v>
      </c>
    </row>
    <row r="5" spans="1:26" ht="47.25" customHeight="1" x14ac:dyDescent="0.2">
      <c r="A5" s="849"/>
      <c r="B5" s="849"/>
      <c r="C5" s="849"/>
      <c r="D5" s="849"/>
      <c r="E5" s="849"/>
      <c r="F5" s="851" t="s">
        <v>10</v>
      </c>
      <c r="G5" s="93" t="s">
        <v>11</v>
      </c>
      <c r="H5" s="93" t="s">
        <v>12</v>
      </c>
      <c r="I5" s="93" t="s">
        <v>13</v>
      </c>
      <c r="J5" s="93" t="s">
        <v>14</v>
      </c>
      <c r="K5" s="93" t="s">
        <v>15</v>
      </c>
      <c r="L5" s="849"/>
      <c r="M5" s="849"/>
      <c r="N5" s="856" t="s">
        <v>16</v>
      </c>
      <c r="O5" s="823" t="s">
        <v>17</v>
      </c>
      <c r="P5" s="856" t="s">
        <v>18</v>
      </c>
      <c r="Q5" s="849"/>
    </row>
    <row r="6" spans="1:26" ht="23.25" customHeight="1" x14ac:dyDescent="0.2">
      <c r="A6" s="850"/>
      <c r="B6" s="850"/>
      <c r="C6" s="850"/>
      <c r="D6" s="850"/>
      <c r="E6" s="850"/>
      <c r="F6" s="850"/>
      <c r="G6" s="857" t="s">
        <v>19</v>
      </c>
      <c r="H6" s="854"/>
      <c r="I6" s="854"/>
      <c r="J6" s="854"/>
      <c r="K6" s="855"/>
      <c r="L6" s="850"/>
      <c r="M6" s="850"/>
      <c r="N6" s="850"/>
      <c r="O6" s="850"/>
      <c r="P6" s="850"/>
      <c r="Q6" s="850"/>
    </row>
    <row r="7" spans="1:26" ht="20.25" customHeight="1" x14ac:dyDescent="0.2">
      <c r="A7" s="94" t="s">
        <v>20</v>
      </c>
      <c r="B7" s="94" t="s">
        <v>21</v>
      </c>
      <c r="C7" s="94" t="s">
        <v>22</v>
      </c>
      <c r="D7" s="94" t="s">
        <v>23</v>
      </c>
      <c r="E7" s="94" t="s">
        <v>24</v>
      </c>
      <c r="F7" s="94" t="s">
        <v>25</v>
      </c>
      <c r="G7" s="94" t="s">
        <v>26</v>
      </c>
      <c r="H7" s="94" t="s">
        <v>27</v>
      </c>
      <c r="I7" s="94" t="s">
        <v>28</v>
      </c>
      <c r="J7" s="94" t="s">
        <v>29</v>
      </c>
      <c r="K7" s="94" t="s">
        <v>30</v>
      </c>
      <c r="L7" s="94" t="s">
        <v>31</v>
      </c>
      <c r="M7" s="95" t="s">
        <v>32</v>
      </c>
      <c r="N7" s="94" t="s">
        <v>33</v>
      </c>
      <c r="O7" s="94" t="s">
        <v>34</v>
      </c>
      <c r="P7" s="94" t="s">
        <v>35</v>
      </c>
      <c r="Q7" s="94" t="s">
        <v>36</v>
      </c>
    </row>
    <row r="8" spans="1:26" s="18" customFormat="1" ht="60" x14ac:dyDescent="0.25">
      <c r="A8" s="82">
        <v>1</v>
      </c>
      <c r="B8" s="82" t="s">
        <v>842</v>
      </c>
      <c r="C8" s="82" t="s">
        <v>843</v>
      </c>
      <c r="D8" s="82" t="s">
        <v>2210</v>
      </c>
      <c r="E8" s="82" t="s">
        <v>2404</v>
      </c>
      <c r="F8" s="82" t="s">
        <v>2211</v>
      </c>
      <c r="G8" s="83" t="s">
        <v>49</v>
      </c>
      <c r="H8" s="79" t="s">
        <v>49</v>
      </c>
      <c r="I8" s="79" t="s">
        <v>49</v>
      </c>
      <c r="J8" s="79" t="s">
        <v>49</v>
      </c>
      <c r="K8" s="79" t="s">
        <v>49</v>
      </c>
      <c r="L8" s="82"/>
      <c r="M8" s="82" t="s">
        <v>2212</v>
      </c>
      <c r="N8" s="82"/>
      <c r="O8" s="84">
        <f>600*4680000</f>
        <v>2808000000</v>
      </c>
      <c r="P8" s="82"/>
      <c r="Q8" s="82" t="s">
        <v>200</v>
      </c>
      <c r="R8" s="85"/>
      <c r="S8" s="85"/>
      <c r="T8" s="85"/>
      <c r="U8" s="85"/>
      <c r="V8" s="85"/>
      <c r="W8" s="85"/>
      <c r="X8" s="85"/>
      <c r="Y8" s="85"/>
      <c r="Z8" s="85"/>
    </row>
    <row r="9" spans="1:26" s="18" customFormat="1" ht="60" hidden="1" x14ac:dyDescent="0.25">
      <c r="A9" s="82">
        <v>2</v>
      </c>
      <c r="B9" s="82" t="s">
        <v>2201</v>
      </c>
      <c r="C9" s="82" t="s">
        <v>2202</v>
      </c>
      <c r="D9" s="82" t="s">
        <v>2203</v>
      </c>
      <c r="E9" s="82" t="s">
        <v>2405</v>
      </c>
      <c r="F9" s="82" t="s">
        <v>2401</v>
      </c>
      <c r="G9" s="83" t="s">
        <v>49</v>
      </c>
      <c r="H9" s="79" t="s">
        <v>49</v>
      </c>
      <c r="I9" s="79" t="s">
        <v>49</v>
      </c>
      <c r="J9" s="79" t="s">
        <v>49</v>
      </c>
      <c r="K9" s="79" t="s">
        <v>49</v>
      </c>
      <c r="L9" s="82" t="s">
        <v>58</v>
      </c>
      <c r="M9" s="82">
        <v>30</v>
      </c>
      <c r="N9" s="82"/>
      <c r="O9" s="84">
        <f>[1]Sheet2!F41</f>
        <v>2000000</v>
      </c>
      <c r="P9" s="82"/>
      <c r="Q9" s="82" t="s">
        <v>1418</v>
      </c>
      <c r="R9" s="85"/>
      <c r="S9" s="85"/>
      <c r="T9" s="85"/>
      <c r="U9" s="85"/>
      <c r="V9" s="85"/>
      <c r="W9" s="85"/>
      <c r="X9" s="85"/>
      <c r="Y9" s="85"/>
      <c r="Z9" s="85"/>
    </row>
    <row r="10" spans="1:26" s="18" customFormat="1" ht="45" hidden="1" x14ac:dyDescent="0.25">
      <c r="A10" s="82">
        <v>3</v>
      </c>
      <c r="B10" s="82" t="s">
        <v>2201</v>
      </c>
      <c r="C10" s="82" t="s">
        <v>2429</v>
      </c>
      <c r="D10" s="82" t="s">
        <v>2330</v>
      </c>
      <c r="E10" s="82"/>
      <c r="F10" s="82" t="s">
        <v>2425</v>
      </c>
      <c r="G10" s="83"/>
      <c r="H10" s="79"/>
      <c r="I10" s="79"/>
      <c r="J10" s="79"/>
      <c r="K10" s="79"/>
      <c r="L10" s="82" t="s">
        <v>58</v>
      </c>
      <c r="M10" s="82">
        <v>30</v>
      </c>
      <c r="N10" s="82"/>
      <c r="O10" s="84">
        <v>3140000</v>
      </c>
      <c r="P10" s="82"/>
      <c r="Q10" s="82" t="s">
        <v>1418</v>
      </c>
      <c r="R10" s="85"/>
      <c r="S10" s="85"/>
      <c r="T10" s="85"/>
      <c r="U10" s="85"/>
      <c r="V10" s="85"/>
      <c r="W10" s="85"/>
      <c r="X10" s="85"/>
      <c r="Y10" s="85"/>
      <c r="Z10" s="85"/>
    </row>
    <row r="11" spans="1:26" s="18" customFormat="1" ht="45" hidden="1" x14ac:dyDescent="0.25">
      <c r="A11" s="82">
        <v>4</v>
      </c>
      <c r="B11" s="82" t="s">
        <v>1751</v>
      </c>
      <c r="C11" s="82" t="s">
        <v>2247</v>
      </c>
      <c r="D11" s="82" t="s">
        <v>2248</v>
      </c>
      <c r="E11" s="82" t="s">
        <v>2402</v>
      </c>
      <c r="F11" s="82" t="s">
        <v>192</v>
      </c>
      <c r="G11" s="83" t="s">
        <v>49</v>
      </c>
      <c r="H11" s="79" t="s">
        <v>49</v>
      </c>
      <c r="I11" s="79" t="s">
        <v>49</v>
      </c>
      <c r="J11" s="79" t="s">
        <v>49</v>
      </c>
      <c r="K11" s="79" t="s">
        <v>49</v>
      </c>
      <c r="L11" s="82" t="s">
        <v>58</v>
      </c>
      <c r="M11" s="82">
        <v>90</v>
      </c>
      <c r="N11" s="82"/>
      <c r="O11" s="84">
        <f>[1]Sheet2!F285</f>
        <v>2000000</v>
      </c>
      <c r="P11" s="82"/>
      <c r="Q11" s="82" t="s">
        <v>179</v>
      </c>
      <c r="R11" s="85"/>
      <c r="S11" s="85"/>
      <c r="T11" s="85"/>
      <c r="U11" s="85"/>
      <c r="V11" s="85"/>
      <c r="W11" s="85"/>
      <c r="X11" s="85"/>
      <c r="Y11" s="85"/>
      <c r="Z11" s="85"/>
    </row>
    <row r="12" spans="1:26" s="18" customFormat="1" ht="45" x14ac:dyDescent="0.25">
      <c r="A12" s="82">
        <v>5</v>
      </c>
      <c r="B12" s="82" t="s">
        <v>1751</v>
      </c>
      <c r="C12" s="82" t="s">
        <v>2315</v>
      </c>
      <c r="D12" s="82" t="s">
        <v>2316</v>
      </c>
      <c r="E12" s="82"/>
      <c r="F12" s="82" t="s">
        <v>2423</v>
      </c>
      <c r="G12" s="83" t="s">
        <v>49</v>
      </c>
      <c r="H12" s="79" t="s">
        <v>49</v>
      </c>
      <c r="I12" s="79"/>
      <c r="J12" s="79" t="s">
        <v>49</v>
      </c>
      <c r="K12" s="79" t="s">
        <v>49</v>
      </c>
      <c r="L12" s="82" t="s">
        <v>58</v>
      </c>
      <c r="M12" s="82">
        <v>30</v>
      </c>
      <c r="N12" s="82"/>
      <c r="O12" s="84">
        <f>[1]Sheet2!F250</f>
        <v>0</v>
      </c>
      <c r="P12" s="82"/>
      <c r="Q12" s="82" t="s">
        <v>131</v>
      </c>
      <c r="R12" s="85"/>
      <c r="S12" s="85"/>
      <c r="T12" s="85"/>
      <c r="U12" s="85"/>
      <c r="V12" s="85"/>
      <c r="W12" s="85"/>
      <c r="X12" s="85"/>
      <c r="Y12" s="85"/>
      <c r="Z12" s="85"/>
    </row>
    <row r="13" spans="1:26" s="911" customFormat="1" ht="45" x14ac:dyDescent="0.25">
      <c r="A13" s="906">
        <v>6</v>
      </c>
      <c r="B13" s="906" t="s">
        <v>1751</v>
      </c>
      <c r="C13" s="906" t="s">
        <v>2315</v>
      </c>
      <c r="D13" s="906" t="s">
        <v>2321</v>
      </c>
      <c r="E13" s="906"/>
      <c r="F13" s="906" t="s">
        <v>2424</v>
      </c>
      <c r="G13" s="907" t="s">
        <v>49</v>
      </c>
      <c r="H13" s="908" t="s">
        <v>49</v>
      </c>
      <c r="I13" s="908"/>
      <c r="J13" s="908" t="s">
        <v>49</v>
      </c>
      <c r="K13" s="908" t="s">
        <v>49</v>
      </c>
      <c r="L13" s="906" t="s">
        <v>58</v>
      </c>
      <c r="M13" s="906">
        <v>30</v>
      </c>
      <c r="N13" s="906"/>
      <c r="O13" s="909">
        <f>[1]Sheet2!F304</f>
        <v>150000</v>
      </c>
      <c r="P13" s="906"/>
      <c r="Q13" s="906" t="s">
        <v>131</v>
      </c>
      <c r="R13" s="910"/>
      <c r="S13" s="910"/>
      <c r="T13" s="910"/>
      <c r="U13" s="910"/>
      <c r="V13" s="910"/>
      <c r="W13" s="910"/>
      <c r="X13" s="910"/>
      <c r="Y13" s="910"/>
      <c r="Z13" s="910"/>
    </row>
    <row r="14" spans="1:26" s="911" customFormat="1" ht="45" x14ac:dyDescent="0.25">
      <c r="A14" s="906">
        <v>7</v>
      </c>
      <c r="B14" s="906" t="s">
        <v>1301</v>
      </c>
      <c r="C14" s="906" t="s">
        <v>2239</v>
      </c>
      <c r="D14" s="906" t="s">
        <v>2297</v>
      </c>
      <c r="E14" s="906"/>
      <c r="F14" s="906" t="s">
        <v>2420</v>
      </c>
      <c r="G14" s="907" t="s">
        <v>49</v>
      </c>
      <c r="H14" s="908" t="s">
        <v>49</v>
      </c>
      <c r="I14" s="908" t="s">
        <v>49</v>
      </c>
      <c r="J14" s="908" t="s">
        <v>49</v>
      </c>
      <c r="K14" s="908" t="s">
        <v>49</v>
      </c>
      <c r="L14" s="906" t="s">
        <v>58</v>
      </c>
      <c r="M14" s="906" t="s">
        <v>249</v>
      </c>
      <c r="N14" s="906"/>
      <c r="O14" s="909">
        <f>[1]Sheet2!F6</f>
        <v>0</v>
      </c>
      <c r="P14" s="906"/>
      <c r="Q14" s="906" t="s">
        <v>131</v>
      </c>
      <c r="R14" s="910"/>
      <c r="S14" s="910"/>
      <c r="T14" s="910"/>
      <c r="U14" s="910"/>
      <c r="V14" s="910"/>
      <c r="W14" s="910"/>
      <c r="X14" s="910"/>
      <c r="Y14" s="910"/>
      <c r="Z14" s="910"/>
    </row>
    <row r="15" spans="1:26" s="911" customFormat="1" ht="45" x14ac:dyDescent="0.25">
      <c r="A15" s="906">
        <v>8</v>
      </c>
      <c r="B15" s="906" t="s">
        <v>1301</v>
      </c>
      <c r="C15" s="906" t="s">
        <v>2239</v>
      </c>
      <c r="D15" s="906" t="s">
        <v>2298</v>
      </c>
      <c r="E15" s="906"/>
      <c r="F15" s="906" t="s">
        <v>2401</v>
      </c>
      <c r="G15" s="907" t="s">
        <v>49</v>
      </c>
      <c r="H15" s="908" t="s">
        <v>49</v>
      </c>
      <c r="I15" s="908" t="s">
        <v>49</v>
      </c>
      <c r="J15" s="908" t="s">
        <v>49</v>
      </c>
      <c r="K15" s="908" t="s">
        <v>49</v>
      </c>
      <c r="L15" s="906" t="s">
        <v>58</v>
      </c>
      <c r="M15" s="906" t="s">
        <v>1691</v>
      </c>
      <c r="N15" s="906"/>
      <c r="O15" s="909">
        <f>[1]Sheet2!F23</f>
        <v>40000</v>
      </c>
      <c r="P15" s="906"/>
      <c r="Q15" s="906" t="s">
        <v>131</v>
      </c>
      <c r="R15" s="910"/>
      <c r="S15" s="910"/>
      <c r="T15" s="910"/>
      <c r="U15" s="910"/>
      <c r="V15" s="910"/>
      <c r="W15" s="910"/>
      <c r="X15" s="910"/>
      <c r="Y15" s="910"/>
      <c r="Z15" s="910"/>
    </row>
    <row r="16" spans="1:26" s="18" customFormat="1" ht="45" hidden="1" x14ac:dyDescent="0.25">
      <c r="A16" s="82">
        <v>9</v>
      </c>
      <c r="B16" s="82" t="s">
        <v>2244</v>
      </c>
      <c r="C16" s="82" t="s">
        <v>2245</v>
      </c>
      <c r="D16" s="82" t="s">
        <v>2246</v>
      </c>
      <c r="E16" s="82" t="s">
        <v>2410</v>
      </c>
      <c r="F16" s="82" t="s">
        <v>2401</v>
      </c>
      <c r="G16" s="83" t="s">
        <v>49</v>
      </c>
      <c r="H16" s="79" t="s">
        <v>49</v>
      </c>
      <c r="I16" s="79" t="s">
        <v>49</v>
      </c>
      <c r="J16" s="79" t="s">
        <v>49</v>
      </c>
      <c r="K16" s="79" t="s">
        <v>2403</v>
      </c>
      <c r="L16" s="82" t="s">
        <v>58</v>
      </c>
      <c r="M16" s="82"/>
      <c r="N16" s="82"/>
      <c r="O16" s="84"/>
      <c r="P16" s="82"/>
      <c r="Q16" s="82" t="s">
        <v>2243</v>
      </c>
      <c r="R16" s="85"/>
      <c r="S16" s="85"/>
      <c r="T16" s="85"/>
      <c r="U16" s="85"/>
      <c r="V16" s="85"/>
      <c r="W16" s="85"/>
      <c r="X16" s="85"/>
      <c r="Y16" s="85"/>
      <c r="Z16" s="85"/>
    </row>
    <row r="17" spans="1:26" s="911" customFormat="1" ht="135" x14ac:dyDescent="0.25">
      <c r="A17" s="906">
        <v>10</v>
      </c>
      <c r="B17" s="906" t="s">
        <v>1849</v>
      </c>
      <c r="C17" s="906" t="s">
        <v>2303</v>
      </c>
      <c r="D17" s="906" t="s">
        <v>2304</v>
      </c>
      <c r="E17" s="906" t="s">
        <v>2305</v>
      </c>
      <c r="F17" s="906" t="s">
        <v>2306</v>
      </c>
      <c r="G17" s="907" t="s">
        <v>563</v>
      </c>
      <c r="H17" s="908" t="s">
        <v>49</v>
      </c>
      <c r="I17" s="908" t="s">
        <v>49</v>
      </c>
      <c r="J17" s="908" t="s">
        <v>49</v>
      </c>
      <c r="K17" s="908" t="s">
        <v>49</v>
      </c>
      <c r="L17" s="906" t="s">
        <v>58</v>
      </c>
      <c r="M17" s="906" t="s">
        <v>97</v>
      </c>
      <c r="N17" s="906"/>
      <c r="O17" s="909">
        <f>[1]Sheet2!F178</f>
        <v>0</v>
      </c>
      <c r="P17" s="906"/>
      <c r="Q17" s="906" t="s">
        <v>131</v>
      </c>
      <c r="R17" s="910"/>
      <c r="S17" s="910"/>
      <c r="T17" s="910"/>
      <c r="U17" s="910"/>
      <c r="V17" s="910"/>
      <c r="W17" s="910"/>
      <c r="X17" s="910"/>
      <c r="Y17" s="910"/>
      <c r="Z17" s="910"/>
    </row>
    <row r="18" spans="1:26" s="18" customFormat="1" ht="45" hidden="1" x14ac:dyDescent="0.25">
      <c r="A18" s="82">
        <v>11</v>
      </c>
      <c r="B18" s="96" t="s">
        <v>825</v>
      </c>
      <c r="C18" s="96" t="s">
        <v>2266</v>
      </c>
      <c r="D18" s="96" t="s">
        <v>2267</v>
      </c>
      <c r="E18" s="96" t="s">
        <v>2268</v>
      </c>
      <c r="F18" s="82" t="s">
        <v>2418</v>
      </c>
      <c r="G18" s="83" t="s">
        <v>49</v>
      </c>
      <c r="H18" s="79" t="s">
        <v>49</v>
      </c>
      <c r="I18" s="79" t="s">
        <v>49</v>
      </c>
      <c r="J18" s="79" t="s">
        <v>49</v>
      </c>
      <c r="K18" s="79" t="s">
        <v>49</v>
      </c>
      <c r="L18" s="82" t="s">
        <v>2269</v>
      </c>
      <c r="M18" s="82" t="s">
        <v>281</v>
      </c>
      <c r="N18" s="82"/>
      <c r="O18" s="84" t="e">
        <f>[1]Sheet2!#REF!</f>
        <v>#REF!</v>
      </c>
      <c r="P18" s="82"/>
      <c r="Q18" s="82" t="s">
        <v>1446</v>
      </c>
      <c r="R18" s="85"/>
      <c r="S18" s="85"/>
      <c r="T18" s="85"/>
      <c r="U18" s="85"/>
      <c r="V18" s="85"/>
      <c r="W18" s="85"/>
      <c r="X18" s="85"/>
      <c r="Y18" s="85"/>
      <c r="Z18" s="85"/>
    </row>
    <row r="19" spans="1:26" s="80" customFormat="1" ht="97.15" hidden="1" customHeight="1" x14ac:dyDescent="0.2">
      <c r="A19" s="82">
        <v>12</v>
      </c>
      <c r="B19" s="97">
        <v>10.039999999999999</v>
      </c>
      <c r="C19" s="97" t="s">
        <v>2373</v>
      </c>
      <c r="D19" s="97" t="s">
        <v>2374</v>
      </c>
      <c r="E19" s="98" t="s">
        <v>2375</v>
      </c>
      <c r="F19" s="99" t="s">
        <v>2378</v>
      </c>
      <c r="G19" s="100" t="s">
        <v>1119</v>
      </c>
      <c r="H19" s="100" t="s">
        <v>1119</v>
      </c>
      <c r="I19" s="100" t="s">
        <v>1119</v>
      </c>
      <c r="J19" s="100" t="s">
        <v>1119</v>
      </c>
      <c r="K19" s="100" t="s">
        <v>1119</v>
      </c>
      <c r="L19" s="82" t="s">
        <v>58</v>
      </c>
      <c r="M19" s="97" t="s">
        <v>873</v>
      </c>
      <c r="N19" s="97"/>
      <c r="O19" s="97" t="s">
        <v>2377</v>
      </c>
      <c r="P19" s="97"/>
      <c r="Q19" s="97" t="s">
        <v>641</v>
      </c>
      <c r="R19" s="101"/>
      <c r="S19" s="101"/>
      <c r="T19" s="101"/>
      <c r="U19" s="101"/>
      <c r="V19" s="101"/>
      <c r="W19" s="101"/>
      <c r="X19" s="101"/>
      <c r="Y19" s="101"/>
      <c r="Z19" s="101"/>
    </row>
    <row r="20" spans="1:26" s="18" customFormat="1" ht="150" hidden="1" x14ac:dyDescent="0.25">
      <c r="A20" s="82">
        <v>13</v>
      </c>
      <c r="B20" s="82" t="s">
        <v>2184</v>
      </c>
      <c r="C20" s="82" t="s">
        <v>2185</v>
      </c>
      <c r="D20" s="82" t="s">
        <v>2186</v>
      </c>
      <c r="E20" s="82" t="s">
        <v>2187</v>
      </c>
      <c r="F20" s="82" t="s">
        <v>2188</v>
      </c>
      <c r="G20" s="83" t="s">
        <v>1119</v>
      </c>
      <c r="H20" s="83" t="s">
        <v>1119</v>
      </c>
      <c r="I20" s="79"/>
      <c r="J20" s="83" t="s">
        <v>1119</v>
      </c>
      <c r="K20" s="79"/>
      <c r="L20" s="82" t="s">
        <v>2189</v>
      </c>
      <c r="M20" s="102" t="s">
        <v>1882</v>
      </c>
      <c r="N20" s="82"/>
      <c r="O20" s="82"/>
      <c r="P20" s="103">
        <v>13210000</v>
      </c>
      <c r="Q20" s="82" t="s">
        <v>640</v>
      </c>
      <c r="R20" s="85"/>
      <c r="S20" s="85"/>
      <c r="T20" s="85"/>
      <c r="U20" s="85"/>
      <c r="V20" s="85"/>
      <c r="W20" s="85"/>
      <c r="X20" s="85"/>
      <c r="Y20" s="85"/>
      <c r="Z20" s="85"/>
    </row>
    <row r="21" spans="1:26" s="955" customFormat="1" ht="60" x14ac:dyDescent="0.25">
      <c r="A21" s="950">
        <v>14</v>
      </c>
      <c r="B21" s="956" t="s">
        <v>2287</v>
      </c>
      <c r="C21" s="957" t="s">
        <v>2288</v>
      </c>
      <c r="D21" s="956" t="s">
        <v>2289</v>
      </c>
      <c r="E21" s="956" t="s">
        <v>2290</v>
      </c>
      <c r="F21" s="956" t="s">
        <v>2291</v>
      </c>
      <c r="G21" s="958" t="s">
        <v>563</v>
      </c>
      <c r="H21" s="958" t="s">
        <v>563</v>
      </c>
      <c r="I21" s="958"/>
      <c r="J21" s="958" t="s">
        <v>563</v>
      </c>
      <c r="K21" s="958" t="s">
        <v>563</v>
      </c>
      <c r="L21" s="950" t="s">
        <v>58</v>
      </c>
      <c r="M21" s="956" t="s">
        <v>2292</v>
      </c>
      <c r="N21" s="956"/>
      <c r="O21" s="959">
        <v>5757500</v>
      </c>
      <c r="P21" s="956"/>
      <c r="Q21" s="950" t="s">
        <v>131</v>
      </c>
      <c r="R21" s="954"/>
      <c r="S21" s="954"/>
      <c r="T21" s="954"/>
      <c r="U21" s="954"/>
      <c r="V21" s="954"/>
      <c r="W21" s="954"/>
      <c r="X21" s="954"/>
      <c r="Y21" s="954"/>
      <c r="Z21" s="954"/>
    </row>
    <row r="22" spans="1:26" s="911" customFormat="1" ht="45" x14ac:dyDescent="0.25">
      <c r="A22" s="906">
        <v>15</v>
      </c>
      <c r="B22" s="906" t="s">
        <v>1227</v>
      </c>
      <c r="C22" s="906" t="s">
        <v>1726</v>
      </c>
      <c r="D22" s="906" t="s">
        <v>2322</v>
      </c>
      <c r="E22" s="906"/>
      <c r="F22" s="906" t="s">
        <v>2425</v>
      </c>
      <c r="G22" s="907" t="s">
        <v>49</v>
      </c>
      <c r="H22" s="908" t="s">
        <v>49</v>
      </c>
      <c r="I22" s="908" t="s">
        <v>49</v>
      </c>
      <c r="J22" s="908" t="s">
        <v>49</v>
      </c>
      <c r="K22" s="908" t="s">
        <v>49</v>
      </c>
      <c r="L22" s="906" t="s">
        <v>58</v>
      </c>
      <c r="M22" s="906" t="s">
        <v>239</v>
      </c>
      <c r="N22" s="906"/>
      <c r="O22" s="909">
        <v>3140000</v>
      </c>
      <c r="P22" s="906"/>
      <c r="Q22" s="906" t="s">
        <v>131</v>
      </c>
      <c r="R22" s="910"/>
      <c r="S22" s="910"/>
      <c r="T22" s="910"/>
      <c r="U22" s="910"/>
      <c r="V22" s="910"/>
      <c r="W22" s="910"/>
      <c r="X22" s="910"/>
      <c r="Y22" s="910"/>
      <c r="Z22" s="910"/>
    </row>
    <row r="23" spans="1:26" s="917" customFormat="1" ht="45" x14ac:dyDescent="0.25">
      <c r="A23" s="912">
        <v>16</v>
      </c>
      <c r="B23" s="912" t="s">
        <v>2254</v>
      </c>
      <c r="C23" s="912" t="s">
        <v>2255</v>
      </c>
      <c r="D23" s="912" t="s">
        <v>2256</v>
      </c>
      <c r="E23" s="912"/>
      <c r="F23" s="912" t="s">
        <v>2416</v>
      </c>
      <c r="G23" s="913" t="s">
        <v>49</v>
      </c>
      <c r="H23" s="914" t="s">
        <v>49</v>
      </c>
      <c r="I23" s="914" t="s">
        <v>49</v>
      </c>
      <c r="J23" s="914" t="s">
        <v>49</v>
      </c>
      <c r="K23" s="914" t="s">
        <v>49</v>
      </c>
      <c r="L23" s="912" t="s">
        <v>58</v>
      </c>
      <c r="M23" s="912">
        <v>120</v>
      </c>
      <c r="N23" s="912"/>
      <c r="O23" s="915">
        <v>14420000</v>
      </c>
      <c r="P23" s="912"/>
      <c r="Q23" s="912" t="s">
        <v>131</v>
      </c>
      <c r="R23" s="916"/>
      <c r="S23" s="916"/>
      <c r="T23" s="916"/>
      <c r="U23" s="916"/>
      <c r="V23" s="916"/>
      <c r="W23" s="916"/>
      <c r="X23" s="916"/>
      <c r="Y23" s="916"/>
      <c r="Z23" s="916"/>
    </row>
    <row r="24" spans="1:26" s="917" customFormat="1" ht="45" x14ac:dyDescent="0.25">
      <c r="A24" s="912">
        <v>17</v>
      </c>
      <c r="B24" s="912" t="s">
        <v>2254</v>
      </c>
      <c r="C24" s="912" t="s">
        <v>2317</v>
      </c>
      <c r="D24" s="912" t="s">
        <v>2318</v>
      </c>
      <c r="E24" s="912"/>
      <c r="F24" s="912" t="s">
        <v>2423</v>
      </c>
      <c r="G24" s="913" t="s">
        <v>49</v>
      </c>
      <c r="H24" s="914" t="s">
        <v>49</v>
      </c>
      <c r="I24" s="914"/>
      <c r="J24" s="914" t="s">
        <v>49</v>
      </c>
      <c r="K24" s="914" t="s">
        <v>49</v>
      </c>
      <c r="L24" s="912" t="s">
        <v>58</v>
      </c>
      <c r="M24" s="912">
        <v>100</v>
      </c>
      <c r="N24" s="912"/>
      <c r="O24" s="915">
        <f>[1]Sheet2!F267</f>
        <v>0</v>
      </c>
      <c r="P24" s="912"/>
      <c r="Q24" s="912" t="s">
        <v>131</v>
      </c>
      <c r="R24" s="916"/>
      <c r="S24" s="916"/>
      <c r="T24" s="916"/>
      <c r="U24" s="916"/>
      <c r="V24" s="916"/>
      <c r="W24" s="916"/>
      <c r="X24" s="916"/>
      <c r="Y24" s="916"/>
      <c r="Z24" s="916"/>
    </row>
    <row r="25" spans="1:26" s="911" customFormat="1" ht="60" x14ac:dyDescent="0.25">
      <c r="A25" s="906">
        <v>18</v>
      </c>
      <c r="B25" s="906" t="s">
        <v>1646</v>
      </c>
      <c r="C25" s="906" t="s">
        <v>2325</v>
      </c>
      <c r="D25" s="906" t="s">
        <v>2326</v>
      </c>
      <c r="E25" s="906"/>
      <c r="F25" s="906" t="s">
        <v>2430</v>
      </c>
      <c r="G25" s="907" t="s">
        <v>49</v>
      </c>
      <c r="H25" s="908" t="s">
        <v>49</v>
      </c>
      <c r="I25" s="908" t="s">
        <v>49</v>
      </c>
      <c r="J25" s="908" t="s">
        <v>49</v>
      </c>
      <c r="K25" s="908"/>
      <c r="L25" s="906" t="s">
        <v>58</v>
      </c>
      <c r="M25" s="906">
        <v>30</v>
      </c>
      <c r="N25" s="906"/>
      <c r="O25" s="909">
        <v>3140000</v>
      </c>
      <c r="P25" s="906"/>
      <c r="Q25" s="906" t="s">
        <v>131</v>
      </c>
      <c r="R25" s="910"/>
      <c r="S25" s="910"/>
      <c r="T25" s="910"/>
      <c r="U25" s="910"/>
      <c r="V25" s="910"/>
      <c r="W25" s="910"/>
      <c r="X25" s="910"/>
      <c r="Y25" s="910"/>
      <c r="Z25" s="910"/>
    </row>
    <row r="26" spans="1:26" s="917" customFormat="1" ht="30" x14ac:dyDescent="0.25">
      <c r="A26" s="912">
        <v>19</v>
      </c>
      <c r="B26" s="912" t="s">
        <v>858</v>
      </c>
      <c r="C26" s="912" t="s">
        <v>1747</v>
      </c>
      <c r="D26" s="912" t="s">
        <v>2229</v>
      </c>
      <c r="E26" s="912" t="s">
        <v>2409</v>
      </c>
      <c r="F26" s="912" t="s">
        <v>2408</v>
      </c>
      <c r="G26" s="913"/>
      <c r="H26" s="914"/>
      <c r="I26" s="914"/>
      <c r="J26" s="914"/>
      <c r="K26" s="914"/>
      <c r="L26" s="912"/>
      <c r="M26" s="912" t="s">
        <v>2230</v>
      </c>
      <c r="N26" s="912"/>
      <c r="O26" s="915">
        <v>9500000</v>
      </c>
      <c r="P26" s="912"/>
      <c r="Q26" s="918" t="s">
        <v>2222</v>
      </c>
      <c r="R26" s="916"/>
      <c r="S26" s="916"/>
      <c r="T26" s="916"/>
      <c r="U26" s="916"/>
      <c r="V26" s="916"/>
      <c r="W26" s="916"/>
      <c r="X26" s="916"/>
      <c r="Y26" s="916"/>
      <c r="Z26" s="916"/>
    </row>
    <row r="27" spans="1:26" s="18" customFormat="1" ht="60" x14ac:dyDescent="0.25">
      <c r="A27" s="82">
        <v>20</v>
      </c>
      <c r="B27" s="110">
        <v>13.14</v>
      </c>
      <c r="C27" s="82" t="s">
        <v>2467</v>
      </c>
      <c r="D27" s="82" t="s">
        <v>2468</v>
      </c>
      <c r="E27" s="82" t="s">
        <v>2469</v>
      </c>
      <c r="F27" s="82"/>
      <c r="G27" s="83" t="s">
        <v>49</v>
      </c>
      <c r="H27" s="79" t="s">
        <v>49</v>
      </c>
      <c r="I27" s="79" t="s">
        <v>49</v>
      </c>
      <c r="J27" s="79" t="s">
        <v>49</v>
      </c>
      <c r="K27" s="79" t="s">
        <v>49</v>
      </c>
      <c r="L27" s="82" t="s">
        <v>58</v>
      </c>
      <c r="M27" s="82" t="s">
        <v>159</v>
      </c>
      <c r="N27" s="82"/>
      <c r="O27" s="84">
        <v>8500000</v>
      </c>
      <c r="P27" s="82"/>
      <c r="Q27" s="108" t="s">
        <v>2222</v>
      </c>
      <c r="R27" s="85"/>
      <c r="S27" s="85"/>
      <c r="T27" s="85"/>
      <c r="U27" s="85"/>
      <c r="V27" s="85"/>
      <c r="W27" s="85"/>
      <c r="X27" s="85"/>
      <c r="Y27" s="85"/>
      <c r="Z27" s="85"/>
    </row>
    <row r="28" spans="1:26" s="917" customFormat="1" ht="45" x14ac:dyDescent="0.25">
      <c r="A28" s="912">
        <v>21</v>
      </c>
      <c r="B28" s="912" t="s">
        <v>793</v>
      </c>
      <c r="C28" s="912" t="s">
        <v>2445</v>
      </c>
      <c r="D28" s="912" t="s">
        <v>2324</v>
      </c>
      <c r="E28" s="912"/>
      <c r="F28" s="912" t="s">
        <v>2425</v>
      </c>
      <c r="G28" s="913" t="s">
        <v>49</v>
      </c>
      <c r="H28" s="914" t="s">
        <v>49</v>
      </c>
      <c r="I28" s="914" t="s">
        <v>49</v>
      </c>
      <c r="J28" s="914" t="s">
        <v>49</v>
      </c>
      <c r="K28" s="914" t="s">
        <v>49</v>
      </c>
      <c r="L28" s="912" t="s">
        <v>58</v>
      </c>
      <c r="M28" s="912">
        <v>25</v>
      </c>
      <c r="N28" s="912"/>
      <c r="O28" s="915">
        <f>[1]Sheet2!F315</f>
        <v>500000</v>
      </c>
      <c r="P28" s="912"/>
      <c r="Q28" s="912" t="s">
        <v>131</v>
      </c>
      <c r="R28" s="916"/>
      <c r="S28" s="916"/>
      <c r="T28" s="916"/>
      <c r="U28" s="916"/>
      <c r="V28" s="916"/>
      <c r="W28" s="916"/>
      <c r="X28" s="916"/>
      <c r="Y28" s="916"/>
      <c r="Z28" s="916"/>
    </row>
    <row r="29" spans="1:26" s="955" customFormat="1" ht="45" x14ac:dyDescent="0.25">
      <c r="A29" s="950">
        <v>22</v>
      </c>
      <c r="B29" s="950">
        <v>13.16</v>
      </c>
      <c r="C29" s="950" t="s">
        <v>1451</v>
      </c>
      <c r="D29" s="950" t="s">
        <v>2346</v>
      </c>
      <c r="E29" s="950"/>
      <c r="F29" s="950" t="s">
        <v>2436</v>
      </c>
      <c r="G29" s="951" t="s">
        <v>49</v>
      </c>
      <c r="H29" s="952" t="s">
        <v>49</v>
      </c>
      <c r="I29" s="952"/>
      <c r="J29" s="952" t="s">
        <v>49</v>
      </c>
      <c r="K29" s="952" t="s">
        <v>49</v>
      </c>
      <c r="L29" s="950" t="s">
        <v>58</v>
      </c>
      <c r="M29" s="950"/>
      <c r="N29" s="950"/>
      <c r="O29" s="953">
        <v>16750000</v>
      </c>
      <c r="P29" s="950"/>
      <c r="Q29" s="950" t="s">
        <v>131</v>
      </c>
      <c r="R29" s="954"/>
      <c r="S29" s="954"/>
      <c r="T29" s="954"/>
      <c r="U29" s="954"/>
      <c r="V29" s="954"/>
      <c r="W29" s="954"/>
      <c r="X29" s="954"/>
      <c r="Y29" s="954"/>
      <c r="Z29" s="954"/>
    </row>
    <row r="30" spans="1:26" s="955" customFormat="1" ht="45" x14ac:dyDescent="0.25">
      <c r="A30" s="950">
        <v>23</v>
      </c>
      <c r="B30" s="950">
        <v>13.16</v>
      </c>
      <c r="C30" s="950" t="s">
        <v>1451</v>
      </c>
      <c r="D30" s="950" t="s">
        <v>2347</v>
      </c>
      <c r="E30" s="950"/>
      <c r="F30" s="950" t="s">
        <v>2436</v>
      </c>
      <c r="G30" s="951" t="s">
        <v>49</v>
      </c>
      <c r="H30" s="952" t="s">
        <v>49</v>
      </c>
      <c r="I30" s="952"/>
      <c r="J30" s="952" t="s">
        <v>49</v>
      </c>
      <c r="K30" s="952" t="s">
        <v>49</v>
      </c>
      <c r="L30" s="950" t="s">
        <v>58</v>
      </c>
      <c r="M30" s="950"/>
      <c r="N30" s="950"/>
      <c r="O30" s="953">
        <v>6400000</v>
      </c>
      <c r="P30" s="950"/>
      <c r="Q30" s="950" t="s">
        <v>131</v>
      </c>
      <c r="R30" s="954"/>
      <c r="S30" s="954"/>
      <c r="T30" s="954"/>
      <c r="U30" s="954"/>
      <c r="V30" s="954"/>
      <c r="W30" s="954"/>
      <c r="X30" s="954"/>
      <c r="Y30" s="954"/>
      <c r="Z30" s="954"/>
    </row>
    <row r="31" spans="1:26" s="18" customFormat="1" ht="105" x14ac:dyDescent="0.25">
      <c r="A31" s="82">
        <v>24</v>
      </c>
      <c r="B31" s="82" t="s">
        <v>139</v>
      </c>
      <c r="C31" s="82" t="s">
        <v>2213</v>
      </c>
      <c r="D31" s="82" t="s">
        <v>2439</v>
      </c>
      <c r="E31" s="82" t="s">
        <v>2440</v>
      </c>
      <c r="F31" s="82" t="s">
        <v>2441</v>
      </c>
      <c r="G31" s="83" t="s">
        <v>1119</v>
      </c>
      <c r="H31" s="83" t="s">
        <v>1119</v>
      </c>
      <c r="I31" s="79"/>
      <c r="J31" s="83" t="s">
        <v>1119</v>
      </c>
      <c r="K31" s="79"/>
      <c r="L31" s="82" t="s">
        <v>58</v>
      </c>
      <c r="M31" s="102" t="s">
        <v>239</v>
      </c>
      <c r="N31" s="82"/>
      <c r="O31" s="103">
        <v>3970000</v>
      </c>
      <c r="P31" s="82"/>
      <c r="Q31" s="82" t="s">
        <v>2343</v>
      </c>
      <c r="R31" s="85"/>
      <c r="S31" s="85"/>
      <c r="T31" s="85"/>
      <c r="U31" s="85"/>
      <c r="V31" s="85"/>
      <c r="W31" s="85"/>
      <c r="X31" s="85"/>
      <c r="Y31" s="85"/>
      <c r="Z31" s="85"/>
    </row>
    <row r="32" spans="1:26" s="18" customFormat="1" ht="45" x14ac:dyDescent="0.25">
      <c r="A32" s="82">
        <v>25</v>
      </c>
      <c r="B32" s="82" t="s">
        <v>139</v>
      </c>
      <c r="C32" s="82" t="s">
        <v>2213</v>
      </c>
      <c r="D32" s="82" t="s">
        <v>2344</v>
      </c>
      <c r="E32" s="82"/>
      <c r="F32" s="82" t="s">
        <v>2435</v>
      </c>
      <c r="G32" s="83" t="s">
        <v>49</v>
      </c>
      <c r="H32" s="79"/>
      <c r="I32" s="79"/>
      <c r="J32" s="79" t="s">
        <v>49</v>
      </c>
      <c r="K32" s="79" t="s">
        <v>49</v>
      </c>
      <c r="L32" s="82" t="s">
        <v>58</v>
      </c>
      <c r="M32" s="82">
        <v>25</v>
      </c>
      <c r="N32" s="82"/>
      <c r="O32" s="84">
        <v>7000000</v>
      </c>
      <c r="P32" s="82"/>
      <c r="Q32" s="82" t="s">
        <v>2343</v>
      </c>
      <c r="R32" s="85"/>
      <c r="S32" s="85"/>
      <c r="T32" s="85"/>
      <c r="U32" s="85"/>
      <c r="V32" s="85"/>
      <c r="W32" s="85"/>
      <c r="X32" s="85"/>
      <c r="Y32" s="85"/>
      <c r="Z32" s="85"/>
    </row>
    <row r="33" spans="1:26" s="18" customFormat="1" ht="45" x14ac:dyDescent="0.25">
      <c r="A33" s="82">
        <v>26</v>
      </c>
      <c r="B33" s="82" t="s">
        <v>139</v>
      </c>
      <c r="C33" s="82" t="s">
        <v>2213</v>
      </c>
      <c r="D33" s="82" t="s">
        <v>2345</v>
      </c>
      <c r="E33" s="82"/>
      <c r="F33" s="82" t="s">
        <v>2435</v>
      </c>
      <c r="G33" s="83" t="s">
        <v>49</v>
      </c>
      <c r="H33" s="79"/>
      <c r="I33" s="79"/>
      <c r="J33" s="79" t="s">
        <v>49</v>
      </c>
      <c r="K33" s="79" t="s">
        <v>49</v>
      </c>
      <c r="L33" s="82" t="s">
        <v>58</v>
      </c>
      <c r="M33" s="82">
        <v>25</v>
      </c>
      <c r="N33" s="82"/>
      <c r="O33" s="84">
        <v>8000000</v>
      </c>
      <c r="P33" s="82"/>
      <c r="Q33" s="82" t="s">
        <v>2343</v>
      </c>
      <c r="R33" s="85"/>
      <c r="S33" s="85"/>
      <c r="T33" s="85"/>
      <c r="U33" s="85"/>
      <c r="V33" s="85"/>
      <c r="W33" s="85"/>
      <c r="X33" s="85"/>
      <c r="Y33" s="85"/>
      <c r="Z33" s="85"/>
    </row>
    <row r="34" spans="1:26" s="18" customFormat="1" ht="48" customHeight="1" x14ac:dyDescent="0.25">
      <c r="A34" s="82">
        <v>27</v>
      </c>
      <c r="B34" s="82" t="s">
        <v>139</v>
      </c>
      <c r="C34" s="82" t="s">
        <v>2252</v>
      </c>
      <c r="D34" s="82" t="s">
        <v>2253</v>
      </c>
      <c r="E34" s="82"/>
      <c r="F34" s="82" t="s">
        <v>2415</v>
      </c>
      <c r="G34" s="83" t="s">
        <v>49</v>
      </c>
      <c r="H34" s="79" t="s">
        <v>49</v>
      </c>
      <c r="I34" s="79"/>
      <c r="J34" s="79" t="s">
        <v>49</v>
      </c>
      <c r="K34" s="79" t="s">
        <v>49</v>
      </c>
      <c r="L34" s="82" t="s">
        <v>58</v>
      </c>
      <c r="M34" s="82">
        <v>30</v>
      </c>
      <c r="N34" s="82"/>
      <c r="O34" s="84">
        <v>3140000</v>
      </c>
      <c r="P34" s="82"/>
      <c r="Q34" s="82" t="s">
        <v>131</v>
      </c>
      <c r="R34" s="85"/>
      <c r="S34" s="85"/>
      <c r="T34" s="85"/>
      <c r="U34" s="85"/>
      <c r="V34" s="85"/>
      <c r="W34" s="85"/>
      <c r="X34" s="85"/>
      <c r="Y34" s="85"/>
      <c r="Z34" s="85"/>
    </row>
    <row r="35" spans="1:26" s="18" customFormat="1" ht="45" x14ac:dyDescent="0.25">
      <c r="A35" s="82">
        <v>28</v>
      </c>
      <c r="B35" s="82" t="s">
        <v>139</v>
      </c>
      <c r="C35" s="82" t="s">
        <v>2252</v>
      </c>
      <c r="D35" s="82" t="s">
        <v>2323</v>
      </c>
      <c r="E35" s="82"/>
      <c r="F35" s="82" t="s">
        <v>2444</v>
      </c>
      <c r="G35" s="83" t="s">
        <v>49</v>
      </c>
      <c r="H35" s="79" t="s">
        <v>49</v>
      </c>
      <c r="I35" s="79" t="s">
        <v>49</v>
      </c>
      <c r="J35" s="79" t="s">
        <v>49</v>
      </c>
      <c r="K35" s="79" t="s">
        <v>49</v>
      </c>
      <c r="L35" s="82" t="s">
        <v>58</v>
      </c>
      <c r="M35" s="82" t="s">
        <v>239</v>
      </c>
      <c r="N35" s="82"/>
      <c r="O35" s="84">
        <v>3140000</v>
      </c>
      <c r="P35" s="82"/>
      <c r="Q35" s="82" t="s">
        <v>131</v>
      </c>
      <c r="R35" s="85"/>
      <c r="S35" s="85"/>
      <c r="T35" s="85"/>
      <c r="U35" s="85"/>
      <c r="V35" s="85"/>
      <c r="W35" s="85"/>
      <c r="X35" s="85"/>
      <c r="Y35" s="85"/>
      <c r="Z35" s="85"/>
    </row>
    <row r="36" spans="1:26" s="961" customFormat="1" ht="45" x14ac:dyDescent="0.25">
      <c r="A36" s="950">
        <v>29</v>
      </c>
      <c r="B36" s="950" t="s">
        <v>139</v>
      </c>
      <c r="C36" s="950" t="s">
        <v>1709</v>
      </c>
      <c r="D36" s="950" t="s">
        <v>2349</v>
      </c>
      <c r="E36" s="950"/>
      <c r="F36" s="950" t="s">
        <v>2446</v>
      </c>
      <c r="G36" s="951" t="s">
        <v>49</v>
      </c>
      <c r="H36" s="960" t="s">
        <v>49</v>
      </c>
      <c r="I36" s="960"/>
      <c r="J36" s="960" t="s">
        <v>49</v>
      </c>
      <c r="K36" s="960" t="s">
        <v>49</v>
      </c>
      <c r="L36" s="950" t="s">
        <v>58</v>
      </c>
      <c r="M36" s="950" t="s">
        <v>1691</v>
      </c>
      <c r="N36" s="950"/>
      <c r="O36" s="953">
        <v>6670000</v>
      </c>
      <c r="P36" s="950"/>
      <c r="Q36" s="950" t="s">
        <v>2222</v>
      </c>
      <c r="R36" s="954"/>
      <c r="S36" s="954"/>
      <c r="T36" s="954"/>
      <c r="U36" s="954"/>
      <c r="V36" s="954"/>
      <c r="W36" s="954"/>
      <c r="X36" s="954"/>
      <c r="Y36" s="954"/>
      <c r="Z36" s="954"/>
    </row>
    <row r="37" spans="1:26" s="65" customFormat="1" ht="45" x14ac:dyDescent="0.25">
      <c r="A37" s="82">
        <v>30</v>
      </c>
      <c r="B37" s="82" t="s">
        <v>531</v>
      </c>
      <c r="C37" s="82" t="s">
        <v>2331</v>
      </c>
      <c r="D37" s="82" t="s">
        <v>2350</v>
      </c>
      <c r="E37" s="82"/>
      <c r="F37" s="82" t="s">
        <v>2443</v>
      </c>
      <c r="G37" s="83" t="s">
        <v>49</v>
      </c>
      <c r="H37" s="109"/>
      <c r="I37" s="109"/>
      <c r="J37" s="109" t="s">
        <v>49</v>
      </c>
      <c r="K37" s="109" t="s">
        <v>49</v>
      </c>
      <c r="L37" s="82" t="s">
        <v>58</v>
      </c>
      <c r="M37" s="82" t="s">
        <v>1691</v>
      </c>
      <c r="N37" s="82"/>
      <c r="O37" s="84">
        <v>3215000</v>
      </c>
      <c r="P37" s="82"/>
      <c r="Q37" s="82" t="s">
        <v>2222</v>
      </c>
      <c r="R37" s="85"/>
      <c r="S37" s="85"/>
      <c r="T37" s="85"/>
      <c r="U37" s="85"/>
      <c r="V37" s="85"/>
      <c r="W37" s="85"/>
      <c r="X37" s="85"/>
      <c r="Y37" s="85"/>
      <c r="Z37" s="85"/>
    </row>
    <row r="38" spans="1:26" s="65" customFormat="1" ht="45" x14ac:dyDescent="0.25">
      <c r="A38" s="82">
        <v>31</v>
      </c>
      <c r="B38" s="82" t="s">
        <v>531</v>
      </c>
      <c r="C38" s="82" t="s">
        <v>2331</v>
      </c>
      <c r="D38" s="110" t="s">
        <v>2351</v>
      </c>
      <c r="E38" s="82"/>
      <c r="F38" s="82" t="s">
        <v>2443</v>
      </c>
      <c r="G38" s="83" t="s">
        <v>49</v>
      </c>
      <c r="H38" s="109"/>
      <c r="I38" s="109"/>
      <c r="J38" s="109" t="s">
        <v>49</v>
      </c>
      <c r="K38" s="109" t="s">
        <v>49</v>
      </c>
      <c r="L38" s="82" t="s">
        <v>58</v>
      </c>
      <c r="M38" s="82" t="s">
        <v>2352</v>
      </c>
      <c r="N38" s="82"/>
      <c r="O38" s="84">
        <v>3840000</v>
      </c>
      <c r="P38" s="82"/>
      <c r="Q38" s="82" t="s">
        <v>2222</v>
      </c>
      <c r="R38" s="85"/>
      <c r="S38" s="85"/>
      <c r="T38" s="85"/>
      <c r="U38" s="85"/>
      <c r="V38" s="85"/>
      <c r="W38" s="85"/>
      <c r="X38" s="85"/>
      <c r="Y38" s="85"/>
      <c r="Z38" s="85"/>
    </row>
    <row r="39" spans="1:26" s="911" customFormat="1" ht="60" x14ac:dyDescent="0.25">
      <c r="A39" s="906">
        <v>32</v>
      </c>
      <c r="B39" s="906" t="s">
        <v>531</v>
      </c>
      <c r="C39" s="906" t="s">
        <v>2214</v>
      </c>
      <c r="D39" s="906" t="s">
        <v>2215</v>
      </c>
      <c r="E39" s="906" t="s">
        <v>2216</v>
      </c>
      <c r="F39" s="906" t="s">
        <v>2188</v>
      </c>
      <c r="G39" s="907" t="s">
        <v>1119</v>
      </c>
      <c r="H39" s="907" t="s">
        <v>1119</v>
      </c>
      <c r="I39" s="908"/>
      <c r="J39" s="907" t="s">
        <v>1119</v>
      </c>
      <c r="K39" s="908"/>
      <c r="L39" s="906" t="s">
        <v>58</v>
      </c>
      <c r="M39" s="906" t="s">
        <v>2367</v>
      </c>
      <c r="N39" s="906"/>
      <c r="O39" s="919">
        <v>2000000</v>
      </c>
      <c r="P39" s="906"/>
      <c r="Q39" s="906" t="s">
        <v>131</v>
      </c>
      <c r="R39" s="910"/>
      <c r="S39" s="910"/>
      <c r="T39" s="910"/>
      <c r="U39" s="910"/>
      <c r="V39" s="910"/>
      <c r="W39" s="910"/>
      <c r="X39" s="910"/>
      <c r="Y39" s="910"/>
      <c r="Z39" s="910"/>
    </row>
    <row r="40" spans="1:26" s="911" customFormat="1" ht="60" x14ac:dyDescent="0.25">
      <c r="A40" s="906">
        <v>33</v>
      </c>
      <c r="B40" s="920" t="s">
        <v>531</v>
      </c>
      <c r="C40" s="921" t="s">
        <v>2235</v>
      </c>
      <c r="D40" s="920" t="s">
        <v>2223</v>
      </c>
      <c r="E40" s="920" t="s">
        <v>2224</v>
      </c>
      <c r="F40" s="920" t="s">
        <v>2207</v>
      </c>
      <c r="G40" s="907"/>
      <c r="H40" s="908"/>
      <c r="I40" s="908" t="s">
        <v>49</v>
      </c>
      <c r="J40" s="908" t="s">
        <v>49</v>
      </c>
      <c r="K40" s="908"/>
      <c r="L40" s="906" t="s">
        <v>58</v>
      </c>
      <c r="M40" s="920" t="s">
        <v>2225</v>
      </c>
      <c r="N40" s="920"/>
      <c r="O40" s="922">
        <v>2400000</v>
      </c>
      <c r="P40" s="920"/>
      <c r="Q40" s="920" t="s">
        <v>2222</v>
      </c>
      <c r="R40" s="910"/>
      <c r="S40" s="910"/>
      <c r="T40" s="910"/>
      <c r="U40" s="910"/>
      <c r="V40" s="910"/>
      <c r="W40" s="910"/>
      <c r="X40" s="910"/>
      <c r="Y40" s="910"/>
      <c r="Z40" s="910"/>
    </row>
    <row r="41" spans="1:26" s="911" customFormat="1" ht="60" x14ac:dyDescent="0.25">
      <c r="A41" s="906">
        <v>34</v>
      </c>
      <c r="B41" s="906" t="s">
        <v>531</v>
      </c>
      <c r="C41" s="921" t="s">
        <v>2235</v>
      </c>
      <c r="D41" s="906" t="s">
        <v>2231</v>
      </c>
      <c r="E41" s="906" t="s">
        <v>2232</v>
      </c>
      <c r="F41" s="906" t="s">
        <v>2233</v>
      </c>
      <c r="G41" s="907"/>
      <c r="H41" s="908"/>
      <c r="I41" s="908" t="s">
        <v>49</v>
      </c>
      <c r="J41" s="908" t="s">
        <v>49</v>
      </c>
      <c r="K41" s="908" t="s">
        <v>49</v>
      </c>
      <c r="L41" s="906" t="s">
        <v>2369</v>
      </c>
      <c r="M41" s="906" t="s">
        <v>2234</v>
      </c>
      <c r="N41" s="906"/>
      <c r="O41" s="909">
        <v>4000000</v>
      </c>
      <c r="P41" s="906"/>
      <c r="Q41" s="906" t="s">
        <v>131</v>
      </c>
      <c r="R41" s="910"/>
      <c r="S41" s="910"/>
      <c r="T41" s="910"/>
      <c r="U41" s="910"/>
      <c r="V41" s="910"/>
      <c r="W41" s="910"/>
      <c r="X41" s="910"/>
      <c r="Y41" s="910"/>
      <c r="Z41" s="910"/>
    </row>
    <row r="42" spans="1:26" s="911" customFormat="1" ht="60" x14ac:dyDescent="0.25">
      <c r="A42" s="906">
        <v>35</v>
      </c>
      <c r="B42" s="923" t="s">
        <v>531</v>
      </c>
      <c r="C42" s="921" t="s">
        <v>2235</v>
      </c>
      <c r="D42" s="923" t="s">
        <v>2236</v>
      </c>
      <c r="E42" s="923" t="s">
        <v>2237</v>
      </c>
      <c r="F42" s="906" t="s">
        <v>2412</v>
      </c>
      <c r="G42" s="907"/>
      <c r="H42" s="908"/>
      <c r="I42" s="908" t="s">
        <v>49</v>
      </c>
      <c r="J42" s="908" t="s">
        <v>49</v>
      </c>
      <c r="K42" s="908" t="s">
        <v>49</v>
      </c>
      <c r="L42" s="906" t="s">
        <v>58</v>
      </c>
      <c r="M42" s="906" t="s">
        <v>2238</v>
      </c>
      <c r="N42" s="906"/>
      <c r="O42" s="909">
        <v>3200000</v>
      </c>
      <c r="P42" s="906"/>
      <c r="Q42" s="906" t="s">
        <v>131</v>
      </c>
      <c r="R42" s="910"/>
      <c r="S42" s="910"/>
      <c r="T42" s="910"/>
      <c r="U42" s="910"/>
      <c r="V42" s="910"/>
      <c r="W42" s="910"/>
      <c r="X42" s="910"/>
      <c r="Y42" s="910"/>
      <c r="Z42" s="910"/>
    </row>
    <row r="43" spans="1:26" s="911" customFormat="1" ht="45" x14ac:dyDescent="0.25">
      <c r="A43" s="906">
        <v>36</v>
      </c>
      <c r="B43" s="924" t="s">
        <v>531</v>
      </c>
      <c r="C43" s="924" t="s">
        <v>2257</v>
      </c>
      <c r="D43" s="924" t="s">
        <v>2258</v>
      </c>
      <c r="E43" s="924" t="s">
        <v>2259</v>
      </c>
      <c r="F43" s="906" t="s">
        <v>2260</v>
      </c>
      <c r="G43" s="907" t="s">
        <v>49</v>
      </c>
      <c r="H43" s="908" t="s">
        <v>49</v>
      </c>
      <c r="I43" s="908" t="s">
        <v>49</v>
      </c>
      <c r="J43" s="908" t="s">
        <v>49</v>
      </c>
      <c r="K43" s="908" t="s">
        <v>49</v>
      </c>
      <c r="L43" s="906" t="s">
        <v>58</v>
      </c>
      <c r="M43" s="906" t="s">
        <v>2261</v>
      </c>
      <c r="N43" s="906"/>
      <c r="O43" s="909" t="e">
        <f>[1]Sheet2!#REF!</f>
        <v>#REF!</v>
      </c>
      <c r="P43" s="906"/>
      <c r="Q43" s="906" t="s">
        <v>131</v>
      </c>
      <c r="R43" s="910"/>
      <c r="S43" s="910"/>
      <c r="T43" s="910"/>
      <c r="U43" s="910"/>
      <c r="V43" s="910"/>
      <c r="W43" s="910"/>
      <c r="X43" s="910"/>
      <c r="Y43" s="910"/>
      <c r="Z43" s="910"/>
    </row>
    <row r="44" spans="1:26" s="911" customFormat="1" ht="45" x14ac:dyDescent="0.25">
      <c r="A44" s="906">
        <v>37</v>
      </c>
      <c r="B44" s="924" t="s">
        <v>531</v>
      </c>
      <c r="C44" s="924" t="s">
        <v>2262</v>
      </c>
      <c r="D44" s="924" t="s">
        <v>2263</v>
      </c>
      <c r="E44" s="924" t="s">
        <v>2264</v>
      </c>
      <c r="F44" s="906" t="s">
        <v>2417</v>
      </c>
      <c r="G44" s="907" t="s">
        <v>563</v>
      </c>
      <c r="H44" s="908" t="s">
        <v>563</v>
      </c>
      <c r="I44" s="908" t="s">
        <v>563</v>
      </c>
      <c r="J44" s="908" t="s">
        <v>563</v>
      </c>
      <c r="K44" s="908" t="s">
        <v>563</v>
      </c>
      <c r="L44" s="906" t="s">
        <v>58</v>
      </c>
      <c r="M44" s="906" t="s">
        <v>2265</v>
      </c>
      <c r="N44" s="906"/>
      <c r="O44" s="909" t="e">
        <f>[1]Sheet2!#REF!</f>
        <v>#REF!</v>
      </c>
      <c r="P44" s="906"/>
      <c r="Q44" s="906" t="s">
        <v>131</v>
      </c>
      <c r="R44" s="910"/>
      <c r="S44" s="910"/>
      <c r="T44" s="910"/>
      <c r="U44" s="910"/>
      <c r="V44" s="910"/>
      <c r="W44" s="910"/>
      <c r="X44" s="910"/>
      <c r="Y44" s="910"/>
      <c r="Z44" s="910"/>
    </row>
    <row r="45" spans="1:26" s="18" customFormat="1" ht="45" x14ac:dyDescent="0.25">
      <c r="A45" s="82">
        <v>38</v>
      </c>
      <c r="B45" s="82" t="s">
        <v>531</v>
      </c>
      <c r="C45" s="82" t="s">
        <v>2239</v>
      </c>
      <c r="D45" s="82" t="s">
        <v>2240</v>
      </c>
      <c r="E45" s="82" t="s">
        <v>2241</v>
      </c>
      <c r="F45" s="82" t="s">
        <v>2211</v>
      </c>
      <c r="G45" s="83"/>
      <c r="H45" s="79"/>
      <c r="I45" s="79"/>
      <c r="J45" s="79"/>
      <c r="K45" s="79"/>
      <c r="L45" s="82" t="s">
        <v>58</v>
      </c>
      <c r="M45" s="82" t="s">
        <v>2242</v>
      </c>
      <c r="N45" s="82"/>
      <c r="O45" s="84">
        <f>[1]Sheet2!F222</f>
        <v>0</v>
      </c>
      <c r="P45" s="82"/>
      <c r="Q45" s="82" t="s">
        <v>2243</v>
      </c>
      <c r="R45" s="85"/>
      <c r="S45" s="85"/>
      <c r="T45" s="85"/>
      <c r="U45" s="85"/>
      <c r="V45" s="85"/>
      <c r="W45" s="85"/>
      <c r="X45" s="85"/>
      <c r="Y45" s="85"/>
      <c r="Z45" s="85"/>
    </row>
    <row r="46" spans="1:26" s="18" customFormat="1" ht="45" x14ac:dyDescent="0.25">
      <c r="A46" s="82">
        <v>39</v>
      </c>
      <c r="B46" s="104" t="s">
        <v>531</v>
      </c>
      <c r="C46" s="105" t="s">
        <v>1677</v>
      </c>
      <c r="D46" s="104" t="s">
        <v>2277</v>
      </c>
      <c r="E46" s="104" t="s">
        <v>2278</v>
      </c>
      <c r="F46" s="104" t="s">
        <v>2279</v>
      </c>
      <c r="G46" s="106" t="s">
        <v>563</v>
      </c>
      <c r="H46" s="106" t="s">
        <v>563</v>
      </c>
      <c r="I46" s="106"/>
      <c r="J46" s="106" t="s">
        <v>563</v>
      </c>
      <c r="K46" s="106" t="s">
        <v>563</v>
      </c>
      <c r="L46" s="82" t="s">
        <v>58</v>
      </c>
      <c r="M46" s="104" t="s">
        <v>2280</v>
      </c>
      <c r="N46" s="104"/>
      <c r="O46" s="107">
        <v>3007500</v>
      </c>
      <c r="P46" s="104"/>
      <c r="Q46" s="82" t="s">
        <v>131</v>
      </c>
      <c r="R46" s="85"/>
      <c r="S46" s="85"/>
      <c r="T46" s="85"/>
      <c r="U46" s="85"/>
      <c r="V46" s="85"/>
      <c r="W46" s="85"/>
      <c r="X46" s="85"/>
      <c r="Y46" s="85"/>
      <c r="Z46" s="85"/>
    </row>
    <row r="47" spans="1:26" s="18" customFormat="1" ht="45" x14ac:dyDescent="0.25">
      <c r="A47" s="82">
        <v>40</v>
      </c>
      <c r="B47" s="104" t="s">
        <v>531</v>
      </c>
      <c r="C47" s="105" t="s">
        <v>2396</v>
      </c>
      <c r="D47" s="104" t="s">
        <v>2293</v>
      </c>
      <c r="E47" s="104" t="s">
        <v>2294</v>
      </c>
      <c r="F47" s="104" t="s">
        <v>2295</v>
      </c>
      <c r="G47" s="106" t="s">
        <v>563</v>
      </c>
      <c r="H47" s="106" t="s">
        <v>563</v>
      </c>
      <c r="I47" s="106"/>
      <c r="J47" s="106" t="s">
        <v>563</v>
      </c>
      <c r="K47" s="106" t="s">
        <v>563</v>
      </c>
      <c r="L47" s="82" t="s">
        <v>58</v>
      </c>
      <c r="M47" s="104" t="s">
        <v>2296</v>
      </c>
      <c r="N47" s="104"/>
      <c r="O47" s="107">
        <v>3000000</v>
      </c>
      <c r="P47" s="104"/>
      <c r="Q47" s="82" t="s">
        <v>131</v>
      </c>
      <c r="R47" s="85"/>
      <c r="S47" s="85"/>
      <c r="T47" s="85"/>
      <c r="U47" s="85"/>
      <c r="V47" s="85"/>
      <c r="W47" s="85"/>
      <c r="X47" s="85"/>
      <c r="Y47" s="85"/>
      <c r="Z47" s="85"/>
    </row>
    <row r="48" spans="1:26" s="911" customFormat="1" ht="60" x14ac:dyDescent="0.25">
      <c r="A48" s="906">
        <v>41</v>
      </c>
      <c r="B48" s="925" t="s">
        <v>531</v>
      </c>
      <c r="C48" s="926" t="s">
        <v>2396</v>
      </c>
      <c r="D48" s="925" t="s">
        <v>2398</v>
      </c>
      <c r="E48" s="906" t="s">
        <v>2399</v>
      </c>
      <c r="F48" s="925" t="s">
        <v>2400</v>
      </c>
      <c r="G48" s="927" t="s">
        <v>563</v>
      </c>
      <c r="H48" s="927" t="s">
        <v>563</v>
      </c>
      <c r="I48" s="927"/>
      <c r="J48" s="927" t="s">
        <v>563</v>
      </c>
      <c r="K48" s="927" t="s">
        <v>563</v>
      </c>
      <c r="L48" s="906" t="s">
        <v>58</v>
      </c>
      <c r="M48" s="906" t="s">
        <v>2397</v>
      </c>
      <c r="N48" s="906"/>
      <c r="O48" s="928">
        <f>[1]Sheet2!F232</f>
        <v>0</v>
      </c>
      <c r="P48" s="906"/>
      <c r="Q48" s="906" t="s">
        <v>131</v>
      </c>
      <c r="R48" s="910"/>
      <c r="S48" s="910"/>
      <c r="T48" s="910"/>
      <c r="U48" s="910"/>
      <c r="V48" s="910"/>
      <c r="W48" s="910"/>
      <c r="X48" s="910"/>
      <c r="Y48" s="910"/>
      <c r="Z48" s="910"/>
    </row>
    <row r="49" spans="1:26" s="911" customFormat="1" ht="45" x14ac:dyDescent="0.25">
      <c r="A49" s="906">
        <v>42</v>
      </c>
      <c r="B49" s="906" t="s">
        <v>531</v>
      </c>
      <c r="C49" s="906" t="s">
        <v>2302</v>
      </c>
      <c r="D49" s="906" t="s">
        <v>2302</v>
      </c>
      <c r="E49" s="906"/>
      <c r="F49" s="906" t="s">
        <v>2421</v>
      </c>
      <c r="G49" s="907" t="s">
        <v>49</v>
      </c>
      <c r="H49" s="908"/>
      <c r="I49" s="908" t="s">
        <v>49</v>
      </c>
      <c r="J49" s="908" t="s">
        <v>49</v>
      </c>
      <c r="K49" s="908" t="s">
        <v>49</v>
      </c>
      <c r="L49" s="906" t="s">
        <v>58</v>
      </c>
      <c r="M49" s="906" t="s">
        <v>1691</v>
      </c>
      <c r="N49" s="906"/>
      <c r="O49" s="909">
        <f>[1]Sheet2!F98</f>
        <v>0</v>
      </c>
      <c r="P49" s="906"/>
      <c r="Q49" s="906" t="s">
        <v>131</v>
      </c>
      <c r="R49" s="910"/>
      <c r="S49" s="910"/>
      <c r="T49" s="910"/>
      <c r="U49" s="910"/>
      <c r="V49" s="910"/>
      <c r="W49" s="910"/>
      <c r="X49" s="910"/>
      <c r="Y49" s="910"/>
      <c r="Z49" s="910"/>
    </row>
    <row r="50" spans="1:26" s="911" customFormat="1" ht="135" x14ac:dyDescent="0.25">
      <c r="A50" s="906">
        <v>43</v>
      </c>
      <c r="B50" s="906" t="s">
        <v>531</v>
      </c>
      <c r="C50" s="906" t="s">
        <v>2307</v>
      </c>
      <c r="D50" s="906" t="s">
        <v>2308</v>
      </c>
      <c r="E50" s="906" t="s">
        <v>2309</v>
      </c>
      <c r="F50" s="906" t="s">
        <v>2306</v>
      </c>
      <c r="G50" s="907" t="s">
        <v>563</v>
      </c>
      <c r="H50" s="908" t="s">
        <v>49</v>
      </c>
      <c r="I50" s="908" t="s">
        <v>49</v>
      </c>
      <c r="J50" s="908" t="s">
        <v>49</v>
      </c>
      <c r="K50" s="908" t="s">
        <v>49</v>
      </c>
      <c r="L50" s="906" t="s">
        <v>58</v>
      </c>
      <c r="M50" s="906" t="s">
        <v>2310</v>
      </c>
      <c r="N50" s="906"/>
      <c r="O50" s="909">
        <f>[1]Sheet2!F168</f>
        <v>0</v>
      </c>
      <c r="P50" s="906"/>
      <c r="Q50" s="906" t="s">
        <v>131</v>
      </c>
      <c r="R50" s="910"/>
      <c r="S50" s="910"/>
      <c r="T50" s="910"/>
      <c r="U50" s="910"/>
      <c r="V50" s="910"/>
      <c r="W50" s="910"/>
      <c r="X50" s="910"/>
      <c r="Y50" s="910"/>
      <c r="Z50" s="910"/>
    </row>
    <row r="51" spans="1:26" s="18" customFormat="1" ht="45" x14ac:dyDescent="0.25">
      <c r="A51" s="82">
        <v>44</v>
      </c>
      <c r="B51" s="86" t="s">
        <v>531</v>
      </c>
      <c r="C51" s="87" t="s">
        <v>2396</v>
      </c>
      <c r="D51" s="86" t="s">
        <v>2231</v>
      </c>
      <c r="E51" s="86" t="s">
        <v>2311</v>
      </c>
      <c r="F51" s="82" t="s">
        <v>2422</v>
      </c>
      <c r="G51" s="83" t="s">
        <v>49</v>
      </c>
      <c r="H51" s="79" t="s">
        <v>49</v>
      </c>
      <c r="I51" s="79" t="s">
        <v>49</v>
      </c>
      <c r="J51" s="79" t="s">
        <v>49</v>
      </c>
      <c r="K51" s="79" t="s">
        <v>49</v>
      </c>
      <c r="L51" s="82" t="s">
        <v>58</v>
      </c>
      <c r="M51" s="82" t="s">
        <v>2238</v>
      </c>
      <c r="N51" s="82"/>
      <c r="O51" s="84">
        <f>[1]Sheet2!F204</f>
        <v>0</v>
      </c>
      <c r="P51" s="82"/>
      <c r="Q51" s="82" t="s">
        <v>131</v>
      </c>
      <c r="R51" s="85"/>
      <c r="S51" s="85"/>
      <c r="T51" s="85"/>
      <c r="U51" s="85"/>
      <c r="V51" s="85"/>
      <c r="W51" s="85"/>
      <c r="X51" s="85"/>
      <c r="Y51" s="85"/>
      <c r="Z51" s="85"/>
    </row>
    <row r="52" spans="1:26" s="911" customFormat="1" ht="60" x14ac:dyDescent="0.25">
      <c r="A52" s="906">
        <v>45</v>
      </c>
      <c r="B52" s="906" t="s">
        <v>531</v>
      </c>
      <c r="C52" s="906" t="s">
        <v>2257</v>
      </c>
      <c r="D52" s="906" t="s">
        <v>2312</v>
      </c>
      <c r="E52" s="906" t="s">
        <v>2313</v>
      </c>
      <c r="F52" s="906" t="s">
        <v>2423</v>
      </c>
      <c r="G52" s="907" t="s">
        <v>49</v>
      </c>
      <c r="H52" s="908" t="s">
        <v>49</v>
      </c>
      <c r="I52" s="908"/>
      <c r="J52" s="908" t="s">
        <v>49</v>
      </c>
      <c r="K52" s="908" t="s">
        <v>49</v>
      </c>
      <c r="L52" s="906" t="s">
        <v>58</v>
      </c>
      <c r="M52" s="906" t="s">
        <v>2314</v>
      </c>
      <c r="N52" s="906"/>
      <c r="O52" s="909">
        <f>[1]Sheet2!F241</f>
        <v>0</v>
      </c>
      <c r="P52" s="906"/>
      <c r="Q52" s="906" t="s">
        <v>131</v>
      </c>
      <c r="R52" s="910"/>
      <c r="S52" s="910"/>
      <c r="T52" s="910"/>
      <c r="U52" s="910"/>
      <c r="V52" s="910"/>
      <c r="W52" s="910"/>
      <c r="X52" s="910"/>
      <c r="Y52" s="910"/>
      <c r="Z52" s="910"/>
    </row>
    <row r="53" spans="1:26" s="911" customFormat="1" ht="45" x14ac:dyDescent="0.25">
      <c r="A53" s="906">
        <v>46</v>
      </c>
      <c r="B53" s="906" t="s">
        <v>531</v>
      </c>
      <c r="C53" s="906" t="s">
        <v>2257</v>
      </c>
      <c r="D53" s="906" t="s">
        <v>2319</v>
      </c>
      <c r="E53" s="906"/>
      <c r="F53" s="906" t="s">
        <v>2424</v>
      </c>
      <c r="G53" s="907" t="s">
        <v>49</v>
      </c>
      <c r="H53" s="908" t="s">
        <v>49</v>
      </c>
      <c r="I53" s="908"/>
      <c r="J53" s="908" t="s">
        <v>49</v>
      </c>
      <c r="K53" s="908" t="s">
        <v>49</v>
      </c>
      <c r="L53" s="906" t="s">
        <v>58</v>
      </c>
      <c r="M53" s="906" t="s">
        <v>2320</v>
      </c>
      <c r="N53" s="906"/>
      <c r="O53" s="909">
        <f>[1]Sheet2!F295</f>
        <v>180000</v>
      </c>
      <c r="P53" s="906"/>
      <c r="Q53" s="906" t="s">
        <v>131</v>
      </c>
      <c r="R53" s="910"/>
      <c r="S53" s="910"/>
      <c r="T53" s="910"/>
      <c r="U53" s="910"/>
      <c r="V53" s="910"/>
      <c r="W53" s="910"/>
      <c r="X53" s="910"/>
      <c r="Y53" s="910"/>
      <c r="Z53" s="910"/>
    </row>
    <row r="54" spans="1:26" s="911" customFormat="1" ht="45" x14ac:dyDescent="0.25">
      <c r="A54" s="906">
        <v>47</v>
      </c>
      <c r="B54" s="906" t="s">
        <v>531</v>
      </c>
      <c r="C54" s="906" t="s">
        <v>2257</v>
      </c>
      <c r="D54" s="906" t="s">
        <v>2327</v>
      </c>
      <c r="E54" s="906"/>
      <c r="F54" s="906" t="s">
        <v>2431</v>
      </c>
      <c r="G54" s="907" t="s">
        <v>49</v>
      </c>
      <c r="H54" s="908" t="s">
        <v>49</v>
      </c>
      <c r="I54" s="908" t="s">
        <v>49</v>
      </c>
      <c r="J54" s="908" t="s">
        <v>49</v>
      </c>
      <c r="K54" s="908"/>
      <c r="L54" s="906" t="s">
        <v>58</v>
      </c>
      <c r="M54" s="906"/>
      <c r="N54" s="906"/>
      <c r="O54" s="909"/>
      <c r="P54" s="906"/>
      <c r="Q54" s="906" t="s">
        <v>131</v>
      </c>
      <c r="R54" s="910"/>
      <c r="S54" s="910"/>
      <c r="T54" s="910"/>
      <c r="U54" s="910"/>
      <c r="V54" s="910"/>
      <c r="W54" s="910"/>
      <c r="X54" s="910"/>
      <c r="Y54" s="910"/>
      <c r="Z54" s="910"/>
    </row>
    <row r="55" spans="1:26" s="917" customFormat="1" ht="60" x14ac:dyDescent="0.25">
      <c r="A55" s="912">
        <v>48</v>
      </c>
      <c r="B55" s="912" t="s">
        <v>473</v>
      </c>
      <c r="C55" s="912" t="s">
        <v>2329</v>
      </c>
      <c r="D55" s="912" t="s">
        <v>2328</v>
      </c>
      <c r="E55" s="912"/>
      <c r="F55" s="912" t="s">
        <v>2432</v>
      </c>
      <c r="G55" s="913" t="s">
        <v>49</v>
      </c>
      <c r="H55" s="914" t="s">
        <v>49</v>
      </c>
      <c r="I55" s="914" t="s">
        <v>49</v>
      </c>
      <c r="J55" s="914" t="s">
        <v>49</v>
      </c>
      <c r="K55" s="914"/>
      <c r="L55" s="912" t="s">
        <v>58</v>
      </c>
      <c r="M55" s="912">
        <v>30</v>
      </c>
      <c r="N55" s="912"/>
      <c r="O55" s="915">
        <v>3140000</v>
      </c>
      <c r="P55" s="912"/>
      <c r="Q55" s="912" t="s">
        <v>131</v>
      </c>
      <c r="R55" s="916"/>
      <c r="S55" s="916"/>
      <c r="T55" s="916"/>
      <c r="U55" s="916"/>
      <c r="V55" s="916"/>
      <c r="W55" s="916"/>
      <c r="X55" s="916"/>
      <c r="Y55" s="916"/>
      <c r="Z55" s="916"/>
    </row>
    <row r="56" spans="1:26" s="911" customFormat="1" ht="45" x14ac:dyDescent="0.25">
      <c r="A56" s="906">
        <v>49</v>
      </c>
      <c r="B56" s="906" t="s">
        <v>531</v>
      </c>
      <c r="C56" s="906" t="s">
        <v>2331</v>
      </c>
      <c r="D56" s="906" t="s">
        <v>2332</v>
      </c>
      <c r="E56" s="906"/>
      <c r="F56" s="906" t="s">
        <v>2425</v>
      </c>
      <c r="G56" s="907" t="s">
        <v>49</v>
      </c>
      <c r="H56" s="908"/>
      <c r="I56" s="908" t="s">
        <v>49</v>
      </c>
      <c r="J56" s="908" t="s">
        <v>49</v>
      </c>
      <c r="K56" s="908" t="s">
        <v>49</v>
      </c>
      <c r="L56" s="906" t="s">
        <v>58</v>
      </c>
      <c r="M56" s="906" t="s">
        <v>2333</v>
      </c>
      <c r="N56" s="906"/>
      <c r="O56" s="909">
        <f>[1]Sheet2!F325</f>
        <v>0</v>
      </c>
      <c r="P56" s="906"/>
      <c r="Q56" s="906" t="s">
        <v>131</v>
      </c>
      <c r="R56" s="910"/>
      <c r="S56" s="910"/>
      <c r="T56" s="910"/>
      <c r="U56" s="910"/>
      <c r="V56" s="910"/>
      <c r="W56" s="910"/>
      <c r="X56" s="910"/>
      <c r="Y56" s="910"/>
      <c r="Z56" s="910"/>
    </row>
    <row r="57" spans="1:26" s="18" customFormat="1" ht="45" x14ac:dyDescent="0.25">
      <c r="A57" s="82">
        <v>50</v>
      </c>
      <c r="B57" s="82" t="s">
        <v>531</v>
      </c>
      <c r="C57" s="82" t="s">
        <v>2331</v>
      </c>
      <c r="D57" s="105" t="s">
        <v>2335</v>
      </c>
      <c r="E57" s="104"/>
      <c r="F57" s="99" t="s">
        <v>2433</v>
      </c>
      <c r="G57" s="106" t="s">
        <v>49</v>
      </c>
      <c r="H57" s="106" t="s">
        <v>49</v>
      </c>
      <c r="I57" s="106" t="s">
        <v>49</v>
      </c>
      <c r="J57" s="106" t="s">
        <v>49</v>
      </c>
      <c r="K57" s="106" t="s">
        <v>49</v>
      </c>
      <c r="L57" s="82" t="s">
        <v>58</v>
      </c>
      <c r="M57" s="82"/>
      <c r="N57" s="104"/>
      <c r="O57" s="112"/>
      <c r="P57" s="104"/>
      <c r="Q57" s="82" t="s">
        <v>131</v>
      </c>
      <c r="R57" s="85"/>
      <c r="S57" s="85"/>
      <c r="T57" s="85"/>
      <c r="U57" s="85"/>
      <c r="V57" s="85"/>
      <c r="W57" s="85"/>
      <c r="X57" s="85"/>
      <c r="Y57" s="85"/>
      <c r="Z57" s="85"/>
    </row>
    <row r="58" spans="1:26" s="939" customFormat="1" ht="77.45" customHeight="1" x14ac:dyDescent="0.25">
      <c r="A58" s="929">
        <v>51</v>
      </c>
      <c r="B58" s="930">
        <v>13.21</v>
      </c>
      <c r="C58" s="931" t="s">
        <v>1677</v>
      </c>
      <c r="D58" s="932" t="s">
        <v>2379</v>
      </c>
      <c r="E58" s="933" t="s">
        <v>2380</v>
      </c>
      <c r="F58" s="934" t="s">
        <v>2381</v>
      </c>
      <c r="G58" s="935" t="s">
        <v>1119</v>
      </c>
      <c r="H58" s="935" t="s">
        <v>1119</v>
      </c>
      <c r="I58" s="935" t="s">
        <v>1119</v>
      </c>
      <c r="J58" s="935" t="s">
        <v>1119</v>
      </c>
      <c r="K58" s="935" t="s">
        <v>1119</v>
      </c>
      <c r="L58" s="929" t="s">
        <v>58</v>
      </c>
      <c r="M58" s="935" t="s">
        <v>2384</v>
      </c>
      <c r="N58" s="936"/>
      <c r="O58" s="937" t="s">
        <v>2382</v>
      </c>
      <c r="P58" s="936"/>
      <c r="Q58" s="935"/>
      <c r="R58" s="938"/>
      <c r="S58" s="938"/>
      <c r="T58" s="938"/>
      <c r="U58" s="938"/>
      <c r="V58" s="938"/>
      <c r="W58" s="938"/>
      <c r="X58" s="938"/>
      <c r="Y58" s="938"/>
      <c r="Z58" s="938"/>
    </row>
    <row r="59" spans="1:26" s="939" customFormat="1" ht="75" x14ac:dyDescent="0.25">
      <c r="A59" s="929">
        <v>52</v>
      </c>
      <c r="B59" s="930">
        <v>13.21</v>
      </c>
      <c r="C59" s="931" t="s">
        <v>1677</v>
      </c>
      <c r="D59" s="932" t="s">
        <v>2379</v>
      </c>
      <c r="E59" s="933" t="s">
        <v>2380</v>
      </c>
      <c r="F59" s="934" t="s">
        <v>2383</v>
      </c>
      <c r="G59" s="940"/>
      <c r="H59" s="941"/>
      <c r="I59" s="941"/>
      <c r="J59" s="941"/>
      <c r="K59" s="941"/>
      <c r="L59" s="929" t="s">
        <v>58</v>
      </c>
      <c r="M59" s="935" t="s">
        <v>2384</v>
      </c>
      <c r="N59" s="942"/>
      <c r="O59" s="937" t="s">
        <v>2382</v>
      </c>
      <c r="P59" s="929"/>
      <c r="Q59" s="929" t="s">
        <v>2222</v>
      </c>
      <c r="R59" s="943"/>
      <c r="S59" s="943"/>
      <c r="T59" s="943"/>
      <c r="U59" s="943"/>
      <c r="V59" s="943"/>
      <c r="W59" s="943"/>
      <c r="X59" s="943"/>
      <c r="Y59" s="943"/>
      <c r="Z59" s="943"/>
    </row>
    <row r="60" spans="1:26" s="939" customFormat="1" ht="45" x14ac:dyDescent="0.25">
      <c r="A60" s="929">
        <v>53</v>
      </c>
      <c r="B60" s="944">
        <v>13.21</v>
      </c>
      <c r="C60" s="931" t="s">
        <v>1677</v>
      </c>
      <c r="D60" s="945" t="s">
        <v>2379</v>
      </c>
      <c r="E60" s="946" t="s">
        <v>2385</v>
      </c>
      <c r="F60" s="947" t="s">
        <v>2386</v>
      </c>
      <c r="G60" s="948" t="s">
        <v>1119</v>
      </c>
      <c r="H60" s="948" t="s">
        <v>1119</v>
      </c>
      <c r="I60" s="948" t="s">
        <v>1119</v>
      </c>
      <c r="J60" s="948" t="s">
        <v>1119</v>
      </c>
      <c r="K60" s="948" t="s">
        <v>1119</v>
      </c>
      <c r="L60" s="948" t="s">
        <v>58</v>
      </c>
      <c r="M60" s="935" t="s">
        <v>2384</v>
      </c>
      <c r="N60" s="949"/>
      <c r="O60" s="937" t="s">
        <v>2382</v>
      </c>
      <c r="P60" s="949"/>
      <c r="Q60" s="929" t="s">
        <v>2222</v>
      </c>
    </row>
    <row r="61" spans="1:26" s="911" customFormat="1" ht="45" x14ac:dyDescent="0.25">
      <c r="A61" s="906">
        <v>54</v>
      </c>
      <c r="B61" s="906" t="s">
        <v>2299</v>
      </c>
      <c r="C61" s="906" t="s">
        <v>2300</v>
      </c>
      <c r="D61" s="906" t="s">
        <v>2301</v>
      </c>
      <c r="E61" s="906"/>
      <c r="F61" s="906" t="s">
        <v>2419</v>
      </c>
      <c r="G61" s="907" t="s">
        <v>49</v>
      </c>
      <c r="H61" s="908"/>
      <c r="I61" s="908"/>
      <c r="J61" s="908" t="s">
        <v>49</v>
      </c>
      <c r="K61" s="908" t="s">
        <v>49</v>
      </c>
      <c r="L61" s="906" t="s">
        <v>58</v>
      </c>
      <c r="M61" s="906" t="s">
        <v>1691</v>
      </c>
      <c r="N61" s="906"/>
      <c r="O61" s="909">
        <f>[1]Sheet2!F87</f>
        <v>0</v>
      </c>
      <c r="P61" s="906"/>
      <c r="Q61" s="906" t="s">
        <v>131</v>
      </c>
      <c r="R61" s="910"/>
      <c r="S61" s="910"/>
      <c r="T61" s="910"/>
      <c r="U61" s="910"/>
      <c r="V61" s="910"/>
      <c r="W61" s="910"/>
      <c r="X61" s="910"/>
      <c r="Y61" s="910"/>
      <c r="Z61" s="910"/>
    </row>
    <row r="62" spans="1:26" s="18" customFormat="1" ht="45" x14ac:dyDescent="0.25">
      <c r="A62" s="82">
        <v>55</v>
      </c>
      <c r="B62" s="82" t="s">
        <v>2217</v>
      </c>
      <c r="C62" s="82" t="s">
        <v>2218</v>
      </c>
      <c r="D62" s="82" t="s">
        <v>2219</v>
      </c>
      <c r="E62" s="82" t="s">
        <v>2220</v>
      </c>
      <c r="F62" s="82" t="s">
        <v>2207</v>
      </c>
      <c r="G62" s="83"/>
      <c r="H62" s="79"/>
      <c r="I62" s="79" t="s">
        <v>49</v>
      </c>
      <c r="J62" s="79" t="s">
        <v>49</v>
      </c>
      <c r="K62" s="79"/>
      <c r="L62" s="82" t="s">
        <v>58</v>
      </c>
      <c r="M62" s="82" t="s">
        <v>2221</v>
      </c>
      <c r="N62" s="82"/>
      <c r="O62" s="84">
        <v>10425000</v>
      </c>
      <c r="P62" s="82"/>
      <c r="Q62" s="82" t="s">
        <v>2222</v>
      </c>
      <c r="R62" s="85"/>
      <c r="S62" s="85"/>
      <c r="T62" s="85"/>
      <c r="U62" s="85"/>
      <c r="V62" s="85"/>
      <c r="W62" s="85"/>
      <c r="X62" s="85"/>
      <c r="Y62" s="85"/>
      <c r="Z62" s="85"/>
    </row>
    <row r="63" spans="1:26" s="911" customFormat="1" ht="30" x14ac:dyDescent="0.25">
      <c r="A63" s="906">
        <v>56</v>
      </c>
      <c r="B63" s="906" t="s">
        <v>2217</v>
      </c>
      <c r="C63" s="906" t="s">
        <v>2226</v>
      </c>
      <c r="D63" s="906" t="s">
        <v>2228</v>
      </c>
      <c r="E63" s="906" t="s">
        <v>2406</v>
      </c>
      <c r="F63" s="906" t="s">
        <v>2407</v>
      </c>
      <c r="G63" s="907"/>
      <c r="H63" s="908"/>
      <c r="I63" s="908"/>
      <c r="J63" s="908"/>
      <c r="K63" s="908"/>
      <c r="L63" s="906"/>
      <c r="M63" s="906" t="s">
        <v>2227</v>
      </c>
      <c r="N63" s="906"/>
      <c r="O63" s="909"/>
      <c r="P63" s="906"/>
      <c r="Q63" s="906" t="s">
        <v>2222</v>
      </c>
      <c r="R63" s="910"/>
      <c r="S63" s="910"/>
      <c r="T63" s="910"/>
      <c r="U63" s="910"/>
      <c r="V63" s="910"/>
      <c r="W63" s="910"/>
      <c r="X63" s="910"/>
      <c r="Y63" s="910"/>
      <c r="Z63" s="910"/>
    </row>
    <row r="64" spans="1:26" s="917" customFormat="1" ht="60" x14ac:dyDescent="0.25">
      <c r="A64" s="912">
        <v>57</v>
      </c>
      <c r="B64" s="912" t="s">
        <v>2204</v>
      </c>
      <c r="C64" s="912" t="s">
        <v>2205</v>
      </c>
      <c r="D64" s="912" t="s">
        <v>2206</v>
      </c>
      <c r="E64" s="912" t="s">
        <v>2206</v>
      </c>
      <c r="F64" s="912" t="s">
        <v>2207</v>
      </c>
      <c r="G64" s="913"/>
      <c r="H64" s="914"/>
      <c r="I64" s="914" t="s">
        <v>49</v>
      </c>
      <c r="J64" s="914" t="s">
        <v>49</v>
      </c>
      <c r="K64" s="914"/>
      <c r="L64" s="912" t="s">
        <v>58</v>
      </c>
      <c r="M64" s="912" t="s">
        <v>2208</v>
      </c>
      <c r="N64" s="912"/>
      <c r="O64" s="915">
        <f>[1]Sheet2!F151</f>
        <v>2400000</v>
      </c>
      <c r="P64" s="912"/>
      <c r="Q64" s="912" t="s">
        <v>2209</v>
      </c>
      <c r="R64" s="916"/>
      <c r="S64" s="916"/>
      <c r="T64" s="916"/>
      <c r="U64" s="916"/>
      <c r="V64" s="916"/>
      <c r="W64" s="916"/>
      <c r="X64" s="916"/>
      <c r="Y64" s="916"/>
      <c r="Z64" s="916"/>
    </row>
    <row r="65" spans="1:26" s="18" customFormat="1" ht="45" x14ac:dyDescent="0.25">
      <c r="A65" s="82">
        <v>58</v>
      </c>
      <c r="B65" s="111" t="s">
        <v>2455</v>
      </c>
      <c r="C65" s="82" t="s">
        <v>2448</v>
      </c>
      <c r="D65" s="82" t="s">
        <v>2447</v>
      </c>
      <c r="E65" s="82" t="s">
        <v>2449</v>
      </c>
      <c r="F65" s="82" t="s">
        <v>2450</v>
      </c>
      <c r="G65" s="83" t="s">
        <v>49</v>
      </c>
      <c r="H65" s="79"/>
      <c r="I65" s="79"/>
      <c r="J65" s="79" t="s">
        <v>49</v>
      </c>
      <c r="K65" s="79" t="s">
        <v>49</v>
      </c>
      <c r="L65" s="82" t="s">
        <v>58</v>
      </c>
      <c r="M65" s="82" t="s">
        <v>2451</v>
      </c>
      <c r="N65" s="82"/>
      <c r="O65" s="115" t="s">
        <v>2382</v>
      </c>
      <c r="P65" s="82"/>
      <c r="Q65" s="82" t="s">
        <v>158</v>
      </c>
      <c r="R65" s="85"/>
      <c r="S65" s="85"/>
      <c r="T65" s="85"/>
      <c r="U65" s="85"/>
      <c r="V65" s="85"/>
      <c r="W65" s="85"/>
      <c r="X65" s="85"/>
      <c r="Y65" s="85"/>
      <c r="Z65" s="85"/>
    </row>
    <row r="66" spans="1:26" s="18" customFormat="1" ht="45" x14ac:dyDescent="0.25">
      <c r="A66" s="82">
        <v>59</v>
      </c>
      <c r="B66" s="111" t="s">
        <v>1711</v>
      </c>
      <c r="C66" s="82" t="s">
        <v>1712</v>
      </c>
      <c r="D66" s="82" t="s">
        <v>2456</v>
      </c>
      <c r="E66" s="82" t="s">
        <v>2457</v>
      </c>
      <c r="F66" s="82" t="s">
        <v>2450</v>
      </c>
      <c r="G66" s="83" t="s">
        <v>49</v>
      </c>
      <c r="H66" s="79"/>
      <c r="I66" s="79"/>
      <c r="J66" s="79" t="s">
        <v>49</v>
      </c>
      <c r="K66" s="79" t="s">
        <v>49</v>
      </c>
      <c r="L66" s="82" t="s">
        <v>58</v>
      </c>
      <c r="M66" s="82" t="s">
        <v>2451</v>
      </c>
      <c r="N66" s="82"/>
      <c r="O66" s="115" t="s">
        <v>2382</v>
      </c>
      <c r="P66" s="82"/>
      <c r="Q66" s="82" t="s">
        <v>158</v>
      </c>
      <c r="R66" s="85"/>
      <c r="S66" s="85"/>
      <c r="T66" s="85"/>
      <c r="U66" s="85"/>
      <c r="V66" s="85"/>
      <c r="W66" s="85"/>
      <c r="X66" s="85"/>
      <c r="Y66" s="85"/>
      <c r="Z66" s="85"/>
    </row>
    <row r="67" spans="1:26" s="18" customFormat="1" ht="45" x14ac:dyDescent="0.25">
      <c r="A67" s="82">
        <v>60</v>
      </c>
      <c r="B67" s="111" t="s">
        <v>2459</v>
      </c>
      <c r="C67" s="82" t="s">
        <v>2460</v>
      </c>
      <c r="D67" s="82" t="s">
        <v>2458</v>
      </c>
      <c r="E67" s="82" t="s">
        <v>2457</v>
      </c>
      <c r="F67" s="82" t="s">
        <v>2450</v>
      </c>
      <c r="G67" s="83" t="s">
        <v>49</v>
      </c>
      <c r="H67" s="79"/>
      <c r="I67" s="79"/>
      <c r="J67" s="79" t="s">
        <v>49</v>
      </c>
      <c r="K67" s="79" t="s">
        <v>49</v>
      </c>
      <c r="L67" s="82" t="s">
        <v>58</v>
      </c>
      <c r="M67" s="82" t="s">
        <v>2451</v>
      </c>
      <c r="N67" s="82"/>
      <c r="O67" s="115" t="s">
        <v>2382</v>
      </c>
      <c r="P67" s="82"/>
      <c r="Q67" s="82" t="s">
        <v>2461</v>
      </c>
      <c r="R67" s="85"/>
      <c r="S67" s="85"/>
      <c r="T67" s="85"/>
      <c r="U67" s="85"/>
      <c r="V67" s="85"/>
      <c r="W67" s="85"/>
      <c r="X67" s="85"/>
      <c r="Y67" s="85"/>
      <c r="Z67" s="85"/>
    </row>
    <row r="68" spans="1:26" s="18" customFormat="1" ht="168.75" customHeight="1" x14ac:dyDescent="0.25">
      <c r="A68" s="82">
        <v>61</v>
      </c>
      <c r="B68" s="82" t="s">
        <v>2194</v>
      </c>
      <c r="C68" s="82" t="s">
        <v>2195</v>
      </c>
      <c r="D68" s="82" t="s">
        <v>2196</v>
      </c>
      <c r="E68" s="82" t="s">
        <v>2197</v>
      </c>
      <c r="F68" s="82" t="s">
        <v>2198</v>
      </c>
      <c r="G68" s="83" t="s">
        <v>1119</v>
      </c>
      <c r="H68" s="83" t="s">
        <v>1119</v>
      </c>
      <c r="I68" s="83" t="s">
        <v>1119</v>
      </c>
      <c r="J68" s="83" t="s">
        <v>1119</v>
      </c>
      <c r="K68" s="83" t="s">
        <v>1119</v>
      </c>
      <c r="L68" s="82" t="s">
        <v>2199</v>
      </c>
      <c r="M68" s="82" t="s">
        <v>2200</v>
      </c>
      <c r="N68" s="82"/>
      <c r="O68" s="82"/>
      <c r="P68" s="103">
        <v>76000000</v>
      </c>
      <c r="Q68" s="82" t="s">
        <v>620</v>
      </c>
      <c r="R68" s="85" t="s">
        <v>464</v>
      </c>
      <c r="S68" s="85"/>
      <c r="T68" s="85"/>
      <c r="U68" s="85"/>
      <c r="V68" s="85"/>
      <c r="W68" s="85"/>
      <c r="X68" s="85"/>
      <c r="Y68" s="85"/>
      <c r="Z68" s="85"/>
    </row>
    <row r="69" spans="1:26" s="18" customFormat="1" ht="60" x14ac:dyDescent="0.25">
      <c r="A69" s="82">
        <v>62</v>
      </c>
      <c r="B69" s="82" t="s">
        <v>1685</v>
      </c>
      <c r="C69" s="82" t="s">
        <v>2437</v>
      </c>
      <c r="D69" s="82" t="s">
        <v>2336</v>
      </c>
      <c r="E69" s="82"/>
      <c r="F69" s="82" t="s">
        <v>2425</v>
      </c>
      <c r="G69" s="83" t="s">
        <v>49</v>
      </c>
      <c r="H69" s="79"/>
      <c r="I69" s="79" t="s">
        <v>49</v>
      </c>
      <c r="J69" s="79" t="s">
        <v>49</v>
      </c>
      <c r="K69" s="79" t="s">
        <v>49</v>
      </c>
      <c r="L69" s="82" t="s">
        <v>58</v>
      </c>
      <c r="M69" s="82"/>
      <c r="N69" s="82"/>
      <c r="O69" s="84">
        <v>65000000</v>
      </c>
      <c r="P69" s="82"/>
      <c r="Q69" s="82" t="s">
        <v>131</v>
      </c>
      <c r="R69" s="85"/>
      <c r="S69" s="85"/>
      <c r="T69" s="85"/>
      <c r="U69" s="85"/>
      <c r="V69" s="85"/>
      <c r="W69" s="85"/>
      <c r="X69" s="85"/>
      <c r="Y69" s="85"/>
      <c r="Z69" s="85"/>
    </row>
    <row r="70" spans="1:26" s="18" customFormat="1" ht="47.25" customHeight="1" x14ac:dyDescent="0.25">
      <c r="A70" s="82">
        <v>63</v>
      </c>
      <c r="B70" s="86" t="s">
        <v>2190</v>
      </c>
      <c r="C70" s="87" t="s">
        <v>2191</v>
      </c>
      <c r="D70" s="86" t="s">
        <v>2192</v>
      </c>
      <c r="E70" s="86" t="s">
        <v>2193</v>
      </c>
      <c r="F70" s="82" t="s">
        <v>2411</v>
      </c>
      <c r="G70" s="83"/>
      <c r="H70" s="79"/>
      <c r="I70" s="79"/>
      <c r="J70" s="79" t="s">
        <v>49</v>
      </c>
      <c r="K70" s="79" t="s">
        <v>49</v>
      </c>
      <c r="L70" s="82"/>
      <c r="M70" s="82" t="s">
        <v>2368</v>
      </c>
      <c r="N70" s="82"/>
      <c r="O70" s="84"/>
      <c r="P70" s="82"/>
      <c r="Q70" s="82" t="s">
        <v>620</v>
      </c>
      <c r="R70" s="85"/>
      <c r="S70" s="85"/>
      <c r="T70" s="85"/>
      <c r="U70" s="85"/>
      <c r="V70" s="85"/>
      <c r="W70" s="85"/>
      <c r="X70" s="85"/>
      <c r="Y70" s="85"/>
      <c r="Z70" s="85"/>
    </row>
    <row r="71" spans="1:26" s="911" customFormat="1" ht="60" x14ac:dyDescent="0.25">
      <c r="A71" s="906">
        <v>64</v>
      </c>
      <c r="B71" s="906" t="s">
        <v>2190</v>
      </c>
      <c r="C71" s="906" t="s">
        <v>2438</v>
      </c>
      <c r="D71" s="906" t="s">
        <v>2337</v>
      </c>
      <c r="E71" s="906"/>
      <c r="F71" s="906" t="s">
        <v>2425</v>
      </c>
      <c r="G71" s="907" t="s">
        <v>49</v>
      </c>
      <c r="H71" s="908"/>
      <c r="I71" s="908" t="s">
        <v>49</v>
      </c>
      <c r="J71" s="908" t="s">
        <v>49</v>
      </c>
      <c r="K71" s="908" t="s">
        <v>49</v>
      </c>
      <c r="L71" s="906" t="s">
        <v>58</v>
      </c>
      <c r="M71" s="906"/>
      <c r="N71" s="906"/>
      <c r="O71" s="909">
        <v>40000000</v>
      </c>
      <c r="P71" s="906"/>
      <c r="Q71" s="906" t="s">
        <v>131</v>
      </c>
      <c r="R71" s="910"/>
      <c r="S71" s="910"/>
      <c r="T71" s="910"/>
      <c r="U71" s="910"/>
      <c r="V71" s="910"/>
      <c r="W71" s="910"/>
      <c r="X71" s="910"/>
      <c r="Y71" s="910"/>
      <c r="Z71" s="910"/>
    </row>
    <row r="72" spans="1:26" s="18" customFormat="1" ht="45" x14ac:dyDescent="0.25">
      <c r="A72" s="82">
        <v>65</v>
      </c>
      <c r="B72" s="111" t="s">
        <v>1175</v>
      </c>
      <c r="C72" s="82" t="s">
        <v>2463</v>
      </c>
      <c r="D72" s="82" t="s">
        <v>2462</v>
      </c>
      <c r="E72" s="82" t="s">
        <v>2464</v>
      </c>
      <c r="F72" s="82" t="s">
        <v>2450</v>
      </c>
      <c r="G72" s="83" t="s">
        <v>49</v>
      </c>
      <c r="H72" s="79"/>
      <c r="I72" s="79"/>
      <c r="J72" s="79" t="s">
        <v>49</v>
      </c>
      <c r="K72" s="79" t="s">
        <v>49</v>
      </c>
      <c r="L72" s="82" t="s">
        <v>58</v>
      </c>
      <c r="M72" s="82" t="s">
        <v>2451</v>
      </c>
      <c r="N72" s="82"/>
      <c r="O72" s="115" t="s">
        <v>2382</v>
      </c>
      <c r="P72" s="82"/>
      <c r="Q72" s="82" t="s">
        <v>158</v>
      </c>
      <c r="R72" s="85"/>
      <c r="S72" s="85"/>
      <c r="T72" s="85"/>
      <c r="U72" s="85"/>
      <c r="V72" s="85"/>
      <c r="W72" s="85"/>
      <c r="X72" s="85"/>
      <c r="Y72" s="85"/>
      <c r="Z72" s="85"/>
    </row>
    <row r="73" spans="1:26" s="18" customFormat="1" ht="60" x14ac:dyDescent="0.25">
      <c r="A73" s="82">
        <v>66</v>
      </c>
      <c r="B73" s="111" t="s">
        <v>1315</v>
      </c>
      <c r="C73" s="82" t="s">
        <v>2454</v>
      </c>
      <c r="D73" s="82" t="s">
        <v>2452</v>
      </c>
      <c r="E73" s="82" t="s">
        <v>2453</v>
      </c>
      <c r="F73" s="82" t="s">
        <v>2450</v>
      </c>
      <c r="G73" s="83" t="s">
        <v>49</v>
      </c>
      <c r="H73" s="79"/>
      <c r="I73" s="79"/>
      <c r="J73" s="79" t="s">
        <v>49</v>
      </c>
      <c r="K73" s="79" t="s">
        <v>49</v>
      </c>
      <c r="L73" s="82" t="s">
        <v>58</v>
      </c>
      <c r="M73" s="82" t="s">
        <v>2451</v>
      </c>
      <c r="N73" s="82"/>
      <c r="O73" s="115" t="s">
        <v>2382</v>
      </c>
      <c r="P73" s="82"/>
      <c r="Q73" s="82" t="s">
        <v>158</v>
      </c>
      <c r="R73" s="85"/>
      <c r="S73" s="85"/>
      <c r="T73" s="85"/>
      <c r="U73" s="85"/>
      <c r="V73" s="85"/>
      <c r="W73" s="85"/>
      <c r="X73" s="85"/>
      <c r="Y73" s="85"/>
      <c r="Z73" s="85"/>
    </row>
    <row r="74" spans="1:26" s="18" customFormat="1" ht="45" x14ac:dyDescent="0.25">
      <c r="A74" s="82">
        <v>67</v>
      </c>
      <c r="B74" s="82" t="s">
        <v>1740</v>
      </c>
      <c r="C74" s="82" t="s">
        <v>2249</v>
      </c>
      <c r="D74" s="82" t="s">
        <v>2250</v>
      </c>
      <c r="E74" s="82"/>
      <c r="F74" s="82" t="s">
        <v>2413</v>
      </c>
      <c r="G74" s="83" t="s">
        <v>49</v>
      </c>
      <c r="H74" s="79"/>
      <c r="I74" s="79" t="s">
        <v>49</v>
      </c>
      <c r="J74" s="79" t="s">
        <v>49</v>
      </c>
      <c r="K74" s="79"/>
      <c r="L74" s="82" t="s">
        <v>58</v>
      </c>
      <c r="M74" s="82">
        <v>30</v>
      </c>
      <c r="N74" s="82"/>
      <c r="O74" s="84">
        <v>3140000</v>
      </c>
      <c r="P74" s="82"/>
      <c r="Q74" s="82" t="s">
        <v>277</v>
      </c>
      <c r="R74" s="85"/>
      <c r="S74" s="85"/>
      <c r="T74" s="85"/>
      <c r="U74" s="85"/>
      <c r="V74" s="85"/>
      <c r="W74" s="85"/>
      <c r="X74" s="85"/>
      <c r="Y74" s="85"/>
      <c r="Z74" s="85"/>
    </row>
    <row r="75" spans="1:26" s="18" customFormat="1" ht="45" x14ac:dyDescent="0.25">
      <c r="A75" s="82">
        <v>68</v>
      </c>
      <c r="B75" s="82" t="s">
        <v>1740</v>
      </c>
      <c r="C75" s="82" t="s">
        <v>2249</v>
      </c>
      <c r="D75" s="82" t="s">
        <v>2251</v>
      </c>
      <c r="E75" s="82"/>
      <c r="F75" s="82" t="s">
        <v>2414</v>
      </c>
      <c r="G75" s="83" t="s">
        <v>49</v>
      </c>
      <c r="H75" s="79" t="s">
        <v>49</v>
      </c>
      <c r="I75" s="79" t="s">
        <v>49</v>
      </c>
      <c r="J75" s="79" t="s">
        <v>49</v>
      </c>
      <c r="K75" s="79" t="s">
        <v>49</v>
      </c>
      <c r="L75" s="82" t="s">
        <v>58</v>
      </c>
      <c r="M75" s="82">
        <v>30</v>
      </c>
      <c r="N75" s="82"/>
      <c r="O75" s="84">
        <v>3140000</v>
      </c>
      <c r="P75" s="82"/>
      <c r="Q75" s="82" t="s">
        <v>277</v>
      </c>
      <c r="R75" s="85"/>
      <c r="S75" s="85"/>
      <c r="T75" s="85"/>
      <c r="U75" s="85"/>
      <c r="V75" s="85"/>
      <c r="W75" s="85"/>
      <c r="X75" s="85"/>
      <c r="Y75" s="85"/>
      <c r="Z75" s="85"/>
    </row>
    <row r="76" spans="1:26" s="18" customFormat="1" ht="45" x14ac:dyDescent="0.25">
      <c r="A76" s="82">
        <v>69</v>
      </c>
      <c r="B76" s="104" t="s">
        <v>2281</v>
      </c>
      <c r="C76" s="105" t="s">
        <v>2282</v>
      </c>
      <c r="D76" s="104" t="s">
        <v>2283</v>
      </c>
      <c r="E76" s="104" t="s">
        <v>2284</v>
      </c>
      <c r="F76" s="104" t="s">
        <v>2285</v>
      </c>
      <c r="G76" s="106" t="s">
        <v>563</v>
      </c>
      <c r="H76" s="106" t="s">
        <v>563</v>
      </c>
      <c r="I76" s="106"/>
      <c r="J76" s="106" t="s">
        <v>563</v>
      </c>
      <c r="K76" s="106" t="s">
        <v>563</v>
      </c>
      <c r="L76" s="82" t="s">
        <v>58</v>
      </c>
      <c r="M76" s="104" t="s">
        <v>2286</v>
      </c>
      <c r="N76" s="104"/>
      <c r="O76" s="107">
        <v>4000000</v>
      </c>
      <c r="P76" s="104"/>
      <c r="Q76" s="82" t="s">
        <v>131</v>
      </c>
      <c r="R76" s="85"/>
      <c r="S76" s="85"/>
      <c r="T76" s="85"/>
      <c r="U76" s="85"/>
      <c r="V76" s="85"/>
      <c r="W76" s="85"/>
      <c r="X76" s="85"/>
      <c r="Y76" s="85"/>
      <c r="Z76" s="85"/>
    </row>
    <row r="77" spans="1:26" s="18" customFormat="1" ht="56.25" customHeight="1" x14ac:dyDescent="0.25">
      <c r="A77" s="82">
        <v>70</v>
      </c>
      <c r="B77" s="104" t="s">
        <v>44</v>
      </c>
      <c r="C77" s="105" t="s">
        <v>2270</v>
      </c>
      <c r="D77" s="105" t="s">
        <v>2271</v>
      </c>
      <c r="E77" s="104" t="s">
        <v>2272</v>
      </c>
      <c r="F77" s="104" t="s">
        <v>152</v>
      </c>
      <c r="G77" s="106" t="s">
        <v>563</v>
      </c>
      <c r="H77" s="106" t="s">
        <v>563</v>
      </c>
      <c r="I77" s="106" t="s">
        <v>563</v>
      </c>
      <c r="J77" s="106" t="s">
        <v>563</v>
      </c>
      <c r="K77" s="106" t="s">
        <v>563</v>
      </c>
      <c r="L77" s="82" t="s">
        <v>58</v>
      </c>
      <c r="M77" s="104" t="s">
        <v>2273</v>
      </c>
      <c r="N77" s="104"/>
      <c r="O77" s="107">
        <v>75000000</v>
      </c>
      <c r="P77" s="104"/>
      <c r="Q77" s="82" t="s">
        <v>131</v>
      </c>
      <c r="R77" s="85"/>
      <c r="S77" s="85"/>
      <c r="T77" s="85"/>
      <c r="U77" s="85"/>
      <c r="V77" s="85"/>
      <c r="W77" s="85"/>
      <c r="X77" s="85"/>
      <c r="Y77" s="85"/>
      <c r="Z77" s="85"/>
    </row>
    <row r="78" spans="1:26" s="18" customFormat="1" ht="58.5" customHeight="1" x14ac:dyDescent="0.25">
      <c r="A78" s="82">
        <v>71</v>
      </c>
      <c r="B78" s="104" t="s">
        <v>44</v>
      </c>
      <c r="C78" s="105" t="s">
        <v>2270</v>
      </c>
      <c r="D78" s="105" t="s">
        <v>2274</v>
      </c>
      <c r="E78" s="104" t="s">
        <v>2275</v>
      </c>
      <c r="F78" s="104" t="s">
        <v>152</v>
      </c>
      <c r="G78" s="106" t="s">
        <v>563</v>
      </c>
      <c r="H78" s="106" t="s">
        <v>563</v>
      </c>
      <c r="I78" s="106"/>
      <c r="J78" s="106" t="s">
        <v>563</v>
      </c>
      <c r="K78" s="106" t="s">
        <v>563</v>
      </c>
      <c r="L78" s="82" t="s">
        <v>58</v>
      </c>
      <c r="M78" s="104" t="s">
        <v>2276</v>
      </c>
      <c r="N78" s="104"/>
      <c r="O78" s="107">
        <v>39300000</v>
      </c>
      <c r="P78" s="104"/>
      <c r="Q78" s="82" t="s">
        <v>131</v>
      </c>
      <c r="R78" s="85"/>
      <c r="S78" s="85"/>
      <c r="T78" s="85"/>
      <c r="U78" s="85"/>
      <c r="V78" s="85"/>
      <c r="W78" s="85"/>
      <c r="X78" s="85"/>
      <c r="Y78" s="85"/>
      <c r="Z78" s="85"/>
    </row>
    <row r="79" spans="1:26" s="18" customFormat="1" ht="45" x14ac:dyDescent="0.25">
      <c r="A79" s="82">
        <v>72</v>
      </c>
      <c r="B79" s="82"/>
      <c r="C79" s="82"/>
      <c r="D79" s="82" t="s">
        <v>2334</v>
      </c>
      <c r="E79" s="82"/>
      <c r="F79" s="82" t="s">
        <v>2428</v>
      </c>
      <c r="G79" s="83" t="s">
        <v>49</v>
      </c>
      <c r="H79" s="79" t="s">
        <v>49</v>
      </c>
      <c r="I79" s="79" t="s">
        <v>49</v>
      </c>
      <c r="J79" s="79" t="s">
        <v>49</v>
      </c>
      <c r="K79" s="79" t="s">
        <v>49</v>
      </c>
      <c r="L79" s="82" t="s">
        <v>58</v>
      </c>
      <c r="M79" s="82"/>
      <c r="N79" s="82"/>
      <c r="O79" s="84"/>
      <c r="P79" s="82"/>
      <c r="Q79" s="82" t="s">
        <v>131</v>
      </c>
      <c r="R79" s="85"/>
      <c r="S79" s="85"/>
      <c r="T79" s="85"/>
      <c r="U79" s="85"/>
      <c r="V79" s="85"/>
      <c r="W79" s="85"/>
      <c r="X79" s="85"/>
      <c r="Y79" s="85"/>
      <c r="Z79" s="85"/>
    </row>
    <row r="80" spans="1:26" s="18" customFormat="1" ht="45" x14ac:dyDescent="0.25">
      <c r="A80" s="82">
        <v>73</v>
      </c>
      <c r="B80" s="82"/>
      <c r="C80" s="82"/>
      <c r="D80" s="82" t="s">
        <v>2427</v>
      </c>
      <c r="E80" s="82"/>
      <c r="F80" s="82" t="s">
        <v>2428</v>
      </c>
      <c r="G80" s="83" t="s">
        <v>49</v>
      </c>
      <c r="H80" s="79" t="s">
        <v>49</v>
      </c>
      <c r="I80" s="79" t="s">
        <v>49</v>
      </c>
      <c r="J80" s="79" t="s">
        <v>49</v>
      </c>
      <c r="K80" s="79" t="s">
        <v>49</v>
      </c>
      <c r="L80" s="82" t="s">
        <v>58</v>
      </c>
      <c r="M80" s="82"/>
      <c r="N80" s="82"/>
      <c r="O80" s="84"/>
      <c r="P80" s="82"/>
      <c r="Q80" s="82" t="s">
        <v>131</v>
      </c>
      <c r="R80" s="85"/>
      <c r="S80" s="85"/>
      <c r="T80" s="85"/>
      <c r="U80" s="85"/>
      <c r="V80" s="85"/>
      <c r="W80" s="85"/>
      <c r="X80" s="85"/>
      <c r="Y80" s="85"/>
      <c r="Z80" s="85"/>
    </row>
    <row r="81" spans="1:26" s="18" customFormat="1" ht="45" x14ac:dyDescent="0.25">
      <c r="A81" s="82">
        <v>74</v>
      </c>
      <c r="B81" s="82"/>
      <c r="C81" s="82"/>
      <c r="D81" s="82" t="s">
        <v>2342</v>
      </c>
      <c r="E81" s="82"/>
      <c r="F81" s="82" t="s">
        <v>2435</v>
      </c>
      <c r="G81" s="83" t="s">
        <v>49</v>
      </c>
      <c r="H81" s="79" t="s">
        <v>49</v>
      </c>
      <c r="I81" s="79" t="s">
        <v>49</v>
      </c>
      <c r="J81" s="79" t="s">
        <v>49</v>
      </c>
      <c r="K81" s="79" t="s">
        <v>49</v>
      </c>
      <c r="L81" s="82" t="s">
        <v>58</v>
      </c>
      <c r="M81" s="82">
        <v>25</v>
      </c>
      <c r="N81" s="82"/>
      <c r="O81" s="84">
        <v>25000000</v>
      </c>
      <c r="P81" s="82"/>
      <c r="Q81" s="82" t="s">
        <v>2343</v>
      </c>
      <c r="R81" s="85"/>
      <c r="S81" s="85"/>
      <c r="T81" s="85"/>
      <c r="U81" s="85"/>
      <c r="V81" s="85"/>
      <c r="W81" s="85"/>
      <c r="X81" s="85"/>
      <c r="Y81" s="85"/>
      <c r="Z81" s="85"/>
    </row>
    <row r="82" spans="1:26" s="65" customFormat="1" ht="247.15" customHeight="1" x14ac:dyDescent="0.25">
      <c r="A82" s="82">
        <v>75</v>
      </c>
      <c r="B82" s="817"/>
      <c r="C82" s="817" t="s">
        <v>2387</v>
      </c>
      <c r="D82" s="817" t="s">
        <v>2388</v>
      </c>
      <c r="E82" s="817" t="s">
        <v>2389</v>
      </c>
      <c r="F82" s="817" t="s">
        <v>2376</v>
      </c>
      <c r="G82" s="817" t="s">
        <v>1119</v>
      </c>
      <c r="H82" s="817" t="s">
        <v>1119</v>
      </c>
      <c r="I82" s="817" t="s">
        <v>1119</v>
      </c>
      <c r="J82" s="817" t="s">
        <v>1119</v>
      </c>
      <c r="K82" s="817" t="s">
        <v>1119</v>
      </c>
      <c r="L82" s="817" t="s">
        <v>58</v>
      </c>
      <c r="M82" s="817" t="s">
        <v>2426</v>
      </c>
      <c r="N82" s="818"/>
      <c r="O82" s="819" t="s">
        <v>2390</v>
      </c>
      <c r="P82" s="818"/>
      <c r="Q82" s="817" t="s">
        <v>641</v>
      </c>
    </row>
    <row r="83" spans="1:26" s="65" customFormat="1" ht="45" x14ac:dyDescent="0.25">
      <c r="A83" s="82">
        <v>76</v>
      </c>
      <c r="B83" s="99"/>
      <c r="C83" s="99"/>
      <c r="D83" s="99" t="s">
        <v>3536</v>
      </c>
      <c r="E83" s="99" t="s">
        <v>3537</v>
      </c>
      <c r="F83" s="99"/>
      <c r="G83" s="99"/>
      <c r="H83" s="99"/>
      <c r="I83" s="99"/>
      <c r="J83" s="99"/>
      <c r="K83" s="99"/>
      <c r="L83" s="817" t="s">
        <v>58</v>
      </c>
      <c r="M83" s="820" t="s">
        <v>3140</v>
      </c>
      <c r="N83" s="821"/>
      <c r="O83" s="822">
        <f>26000000*7</f>
        <v>182000000</v>
      </c>
      <c r="P83" s="821"/>
      <c r="Q83" s="99" t="s">
        <v>1032</v>
      </c>
    </row>
    <row r="84" spans="1:26" s="18" customFormat="1" ht="45" x14ac:dyDescent="0.25">
      <c r="A84" s="82">
        <v>77</v>
      </c>
      <c r="B84" s="82"/>
      <c r="C84" s="82"/>
      <c r="D84" s="82" t="s">
        <v>2348</v>
      </c>
      <c r="E84" s="82"/>
      <c r="F84" s="82"/>
      <c r="G84" s="83" t="s">
        <v>49</v>
      </c>
      <c r="H84" s="79" t="s">
        <v>49</v>
      </c>
      <c r="I84" s="79" t="s">
        <v>49</v>
      </c>
      <c r="J84" s="79" t="s">
        <v>49</v>
      </c>
      <c r="K84" s="79" t="s">
        <v>49</v>
      </c>
      <c r="L84" s="82" t="s">
        <v>58</v>
      </c>
      <c r="M84" s="82">
        <v>63</v>
      </c>
      <c r="N84" s="82"/>
      <c r="O84" s="84">
        <v>1260000</v>
      </c>
      <c r="P84" s="82"/>
      <c r="Q84" s="82" t="s">
        <v>131</v>
      </c>
      <c r="R84" s="85"/>
      <c r="S84" s="85"/>
      <c r="T84" s="85"/>
      <c r="U84" s="85"/>
      <c r="V84" s="85"/>
      <c r="W84" s="85"/>
      <c r="X84" s="85"/>
      <c r="Y84" s="85"/>
      <c r="Z84" s="85"/>
    </row>
    <row r="85" spans="1:26" s="18" customFormat="1" ht="45" x14ac:dyDescent="0.25">
      <c r="A85" s="82">
        <v>78</v>
      </c>
      <c r="B85" s="82"/>
      <c r="C85" s="82"/>
      <c r="D85" s="82" t="s">
        <v>2466</v>
      </c>
      <c r="E85" s="82"/>
      <c r="F85" s="82" t="s">
        <v>2465</v>
      </c>
      <c r="G85" s="83" t="s">
        <v>49</v>
      </c>
      <c r="H85" s="79" t="s">
        <v>49</v>
      </c>
      <c r="I85" s="79" t="s">
        <v>49</v>
      </c>
      <c r="J85" s="79" t="s">
        <v>49</v>
      </c>
      <c r="K85" s="79" t="s">
        <v>49</v>
      </c>
      <c r="L85" s="82" t="s">
        <v>58</v>
      </c>
      <c r="M85" s="82"/>
      <c r="N85" s="82"/>
      <c r="O85" s="84">
        <v>4500000</v>
      </c>
      <c r="P85" s="82"/>
      <c r="Q85" s="82" t="s">
        <v>2222</v>
      </c>
      <c r="R85" s="85"/>
      <c r="S85" s="85"/>
      <c r="T85" s="85"/>
      <c r="U85" s="85"/>
      <c r="V85" s="85"/>
      <c r="W85" s="85"/>
      <c r="X85" s="85"/>
      <c r="Y85" s="85"/>
      <c r="Z85" s="85"/>
    </row>
    <row r="86" spans="1:26" s="65" customFormat="1" ht="60" hidden="1" x14ac:dyDescent="0.25">
      <c r="A86" s="82">
        <v>79</v>
      </c>
      <c r="B86" s="82"/>
      <c r="C86" s="82"/>
      <c r="D86" s="82" t="s">
        <v>2370</v>
      </c>
      <c r="E86" s="82"/>
      <c r="F86" s="82"/>
      <c r="G86" s="83" t="s">
        <v>49</v>
      </c>
      <c r="H86" s="109"/>
      <c r="I86" s="109" t="s">
        <v>49</v>
      </c>
      <c r="J86" s="109" t="s">
        <v>49</v>
      </c>
      <c r="K86" s="109" t="s">
        <v>49</v>
      </c>
      <c r="L86" s="82" t="s">
        <v>58</v>
      </c>
      <c r="M86" s="82"/>
      <c r="N86" s="82"/>
      <c r="O86" s="84"/>
      <c r="P86" s="82"/>
      <c r="Q86" s="82" t="s">
        <v>169</v>
      </c>
      <c r="R86" s="85"/>
      <c r="S86" s="85"/>
      <c r="T86" s="85"/>
      <c r="U86" s="85"/>
      <c r="V86" s="85"/>
      <c r="W86" s="85"/>
      <c r="X86" s="85"/>
      <c r="Y86" s="85"/>
      <c r="Z86" s="85"/>
    </row>
    <row r="87" spans="1:26" s="18" customFormat="1" ht="45" x14ac:dyDescent="0.25">
      <c r="A87" s="82">
        <v>80</v>
      </c>
      <c r="B87" s="82"/>
      <c r="C87" s="82"/>
      <c r="D87" s="82" t="s">
        <v>2338</v>
      </c>
      <c r="E87" s="82"/>
      <c r="F87" s="82" t="s">
        <v>2425</v>
      </c>
      <c r="G87" s="83"/>
      <c r="H87" s="79"/>
      <c r="I87" s="79"/>
      <c r="J87" s="79"/>
      <c r="K87" s="79"/>
      <c r="L87" s="82" t="s">
        <v>58</v>
      </c>
      <c r="M87" s="82"/>
      <c r="N87" s="82"/>
      <c r="O87" s="84">
        <v>20000000</v>
      </c>
      <c r="P87" s="82"/>
      <c r="Q87" s="82" t="s">
        <v>131</v>
      </c>
      <c r="R87" s="85"/>
      <c r="S87" s="85"/>
      <c r="T87" s="85"/>
      <c r="U87" s="85"/>
      <c r="V87" s="85"/>
      <c r="W87" s="85"/>
      <c r="X87" s="85"/>
      <c r="Y87" s="85"/>
      <c r="Z87" s="85"/>
    </row>
    <row r="88" spans="1:26" s="18" customFormat="1" ht="45" x14ac:dyDescent="0.25">
      <c r="A88" s="82">
        <v>81</v>
      </c>
      <c r="B88" s="82"/>
      <c r="C88" s="82"/>
      <c r="D88" s="82" t="s">
        <v>2339</v>
      </c>
      <c r="E88" s="82"/>
      <c r="F88" s="82" t="s">
        <v>2425</v>
      </c>
      <c r="G88" s="83" t="s">
        <v>49</v>
      </c>
      <c r="H88" s="79" t="s">
        <v>49</v>
      </c>
      <c r="I88" s="79"/>
      <c r="J88" s="79" t="s">
        <v>49</v>
      </c>
      <c r="K88" s="79" t="s">
        <v>49</v>
      </c>
      <c r="L88" s="82" t="s">
        <v>58</v>
      </c>
      <c r="M88" s="82"/>
      <c r="N88" s="82"/>
      <c r="O88" s="84">
        <v>32000000</v>
      </c>
      <c r="P88" s="82"/>
      <c r="Q88" s="82" t="s">
        <v>131</v>
      </c>
      <c r="R88" s="85"/>
      <c r="S88" s="85"/>
      <c r="T88" s="85"/>
      <c r="U88" s="85"/>
      <c r="V88" s="85"/>
      <c r="W88" s="85"/>
      <c r="X88" s="85"/>
      <c r="Y88" s="85"/>
      <c r="Z88" s="85"/>
    </row>
    <row r="89" spans="1:26" s="18" customFormat="1" ht="45" x14ac:dyDescent="0.25">
      <c r="A89" s="82">
        <v>82</v>
      </c>
      <c r="B89" s="82"/>
      <c r="C89" s="82"/>
      <c r="D89" s="82" t="s">
        <v>2340</v>
      </c>
      <c r="E89" s="82"/>
      <c r="F89" s="82" t="s">
        <v>2434</v>
      </c>
      <c r="G89" s="83" t="s">
        <v>49</v>
      </c>
      <c r="H89" s="79" t="s">
        <v>49</v>
      </c>
      <c r="I89" s="79" t="s">
        <v>49</v>
      </c>
      <c r="J89" s="79" t="s">
        <v>49</v>
      </c>
      <c r="K89" s="79" t="s">
        <v>49</v>
      </c>
      <c r="L89" s="82" t="s">
        <v>58</v>
      </c>
      <c r="M89" s="82"/>
      <c r="N89" s="82"/>
      <c r="O89" s="84">
        <v>10000000</v>
      </c>
      <c r="P89" s="82"/>
      <c r="Q89" s="82" t="s">
        <v>131</v>
      </c>
      <c r="R89" s="85"/>
      <c r="S89" s="85"/>
      <c r="T89" s="85"/>
      <c r="U89" s="85"/>
      <c r="V89" s="85"/>
      <c r="W89" s="85"/>
      <c r="X89" s="85"/>
      <c r="Y89" s="85"/>
      <c r="Z89" s="85"/>
    </row>
    <row r="90" spans="1:26" s="18" customFormat="1" ht="45" x14ac:dyDescent="0.25">
      <c r="A90" s="82">
        <v>83</v>
      </c>
      <c r="B90" s="82"/>
      <c r="C90" s="82"/>
      <c r="D90" s="82" t="s">
        <v>2341</v>
      </c>
      <c r="E90" s="82"/>
      <c r="F90" s="82" t="s">
        <v>2434</v>
      </c>
      <c r="G90" s="83"/>
      <c r="H90" s="79"/>
      <c r="I90" s="79"/>
      <c r="J90" s="79"/>
      <c r="K90" s="79"/>
      <c r="L90" s="82" t="s">
        <v>58</v>
      </c>
      <c r="M90" s="82"/>
      <c r="N90" s="82"/>
      <c r="O90" s="84">
        <v>5000000</v>
      </c>
      <c r="P90" s="82"/>
      <c r="Q90" s="82" t="s">
        <v>131</v>
      </c>
      <c r="R90" s="85"/>
      <c r="S90" s="85"/>
      <c r="T90" s="85"/>
      <c r="U90" s="85"/>
      <c r="V90" s="85"/>
      <c r="W90" s="85"/>
      <c r="X90" s="85"/>
      <c r="Y90" s="85"/>
      <c r="Z90" s="85"/>
    </row>
    <row r="91" spans="1:26" s="65" customFormat="1" ht="45" x14ac:dyDescent="0.25">
      <c r="A91" s="82">
        <v>84</v>
      </c>
      <c r="B91" s="82"/>
      <c r="C91" s="82"/>
      <c r="D91" s="82" t="s">
        <v>2371</v>
      </c>
      <c r="E91" s="82"/>
      <c r="F91" s="82" t="s">
        <v>2372</v>
      </c>
      <c r="G91" s="83"/>
      <c r="H91" s="109"/>
      <c r="I91" s="109"/>
      <c r="J91" s="109"/>
      <c r="K91" s="109"/>
      <c r="L91" s="82" t="s">
        <v>58</v>
      </c>
      <c r="M91" s="82"/>
      <c r="N91" s="82"/>
      <c r="O91" s="84">
        <v>7050000</v>
      </c>
      <c r="P91" s="82"/>
      <c r="Q91" s="82" t="s">
        <v>2222</v>
      </c>
      <c r="R91" s="85"/>
      <c r="S91" s="85"/>
      <c r="T91" s="85"/>
      <c r="U91" s="85"/>
      <c r="V91" s="85"/>
      <c r="W91" s="85"/>
      <c r="X91" s="85"/>
      <c r="Y91" s="85"/>
      <c r="Z91" s="85"/>
    </row>
    <row r="92" spans="1:26" s="65" customFormat="1" ht="45" x14ac:dyDescent="0.25">
      <c r="A92" s="82">
        <v>85</v>
      </c>
      <c r="B92" s="118"/>
      <c r="C92" s="104"/>
      <c r="D92" s="105" t="s">
        <v>2353</v>
      </c>
      <c r="E92" s="104"/>
      <c r="F92" s="104"/>
      <c r="G92" s="106"/>
      <c r="H92" s="106"/>
      <c r="I92" s="106"/>
      <c r="J92" s="106"/>
      <c r="K92" s="106"/>
      <c r="L92" s="82" t="s">
        <v>58</v>
      </c>
      <c r="M92" s="82" t="s">
        <v>2354</v>
      </c>
      <c r="N92" s="104"/>
      <c r="O92" s="112">
        <f>20*4*20000</f>
        <v>1600000</v>
      </c>
      <c r="P92" s="104"/>
      <c r="Q92" s="82" t="s">
        <v>2222</v>
      </c>
      <c r="R92" s="85"/>
      <c r="S92" s="85"/>
      <c r="T92" s="85"/>
      <c r="U92" s="85"/>
      <c r="V92" s="85"/>
      <c r="W92" s="85"/>
      <c r="X92" s="85"/>
      <c r="Y92" s="85"/>
      <c r="Z92" s="85"/>
    </row>
    <row r="93" spans="1:26" s="65" customFormat="1" ht="45" x14ac:dyDescent="0.25">
      <c r="A93" s="82">
        <v>86</v>
      </c>
      <c r="B93" s="82"/>
      <c r="C93" s="82"/>
      <c r="D93" s="110" t="s">
        <v>2355</v>
      </c>
      <c r="E93" s="82"/>
      <c r="F93" s="82"/>
      <c r="G93" s="83"/>
      <c r="H93" s="109"/>
      <c r="I93" s="109"/>
      <c r="J93" s="109"/>
      <c r="K93" s="109"/>
      <c r="L93" s="82" t="s">
        <v>58</v>
      </c>
      <c r="M93" s="82" t="s">
        <v>2356</v>
      </c>
      <c r="N93" s="82"/>
      <c r="O93" s="84">
        <v>63000000</v>
      </c>
      <c r="P93" s="82"/>
      <c r="Q93" s="82" t="s">
        <v>2222</v>
      </c>
      <c r="R93" s="85"/>
      <c r="S93" s="85"/>
      <c r="T93" s="85"/>
      <c r="U93" s="85"/>
      <c r="V93" s="85"/>
      <c r="W93" s="85"/>
      <c r="X93" s="85"/>
      <c r="Y93" s="85"/>
      <c r="Z93" s="85"/>
    </row>
    <row r="94" spans="1:26" s="65" customFormat="1" ht="30" customHeight="1" x14ac:dyDescent="0.25">
      <c r="A94" s="82">
        <v>87</v>
      </c>
      <c r="B94" s="82"/>
      <c r="C94" s="82"/>
      <c r="D94" s="82" t="s">
        <v>2357</v>
      </c>
      <c r="E94" s="82"/>
      <c r="F94" s="82"/>
      <c r="G94" s="83"/>
      <c r="H94" s="109"/>
      <c r="I94" s="109"/>
      <c r="J94" s="109"/>
      <c r="K94" s="109"/>
      <c r="L94" s="82" t="s">
        <v>58</v>
      </c>
      <c r="M94" s="82" t="s">
        <v>2358</v>
      </c>
      <c r="N94" s="82"/>
      <c r="O94" s="119">
        <v>5000000</v>
      </c>
      <c r="P94" s="82"/>
      <c r="Q94" s="82" t="s">
        <v>2222</v>
      </c>
      <c r="R94" s="85"/>
      <c r="S94" s="85"/>
      <c r="T94" s="85"/>
      <c r="U94" s="85"/>
      <c r="V94" s="85"/>
      <c r="W94" s="85"/>
      <c r="X94" s="85"/>
      <c r="Y94" s="85"/>
      <c r="Z94" s="85"/>
    </row>
    <row r="95" spans="1:26" s="65" customFormat="1" ht="45" x14ac:dyDescent="0.25">
      <c r="A95" s="82">
        <v>88</v>
      </c>
      <c r="B95" s="108"/>
      <c r="C95" s="108"/>
      <c r="D95" s="108" t="s">
        <v>2359</v>
      </c>
      <c r="E95" s="108"/>
      <c r="F95" s="108"/>
      <c r="G95" s="83"/>
      <c r="H95" s="109"/>
      <c r="I95" s="109"/>
      <c r="J95" s="109"/>
      <c r="K95" s="109"/>
      <c r="L95" s="82" t="s">
        <v>58</v>
      </c>
      <c r="M95" s="108"/>
      <c r="N95" s="108"/>
      <c r="O95" s="120">
        <v>800000</v>
      </c>
      <c r="P95" s="108"/>
      <c r="Q95" s="82" t="s">
        <v>2222</v>
      </c>
      <c r="R95" s="85"/>
      <c r="S95" s="85"/>
      <c r="T95" s="85"/>
      <c r="U95" s="85"/>
      <c r="V95" s="85"/>
      <c r="W95" s="85"/>
      <c r="X95" s="85"/>
      <c r="Y95" s="85"/>
      <c r="Z95" s="85"/>
    </row>
    <row r="96" spans="1:26" s="65" customFormat="1" ht="45" x14ac:dyDescent="0.25">
      <c r="A96" s="82">
        <v>89</v>
      </c>
      <c r="B96" s="108"/>
      <c r="C96" s="108"/>
      <c r="D96" s="108" t="s">
        <v>2360</v>
      </c>
      <c r="E96" s="108"/>
      <c r="F96" s="108"/>
      <c r="G96" s="83"/>
      <c r="H96" s="109"/>
      <c r="I96" s="109"/>
      <c r="J96" s="109"/>
      <c r="K96" s="109"/>
      <c r="L96" s="82" t="s">
        <v>58</v>
      </c>
      <c r="M96" s="108"/>
      <c r="N96" s="108"/>
      <c r="O96" s="120">
        <v>800000</v>
      </c>
      <c r="P96" s="108"/>
      <c r="Q96" s="82" t="s">
        <v>2222</v>
      </c>
      <c r="R96" s="85"/>
      <c r="S96" s="85"/>
      <c r="T96" s="85"/>
      <c r="U96" s="85"/>
      <c r="V96" s="85"/>
      <c r="W96" s="85"/>
      <c r="X96" s="85"/>
      <c r="Y96" s="85"/>
      <c r="Z96" s="85"/>
    </row>
    <row r="97" spans="1:26" s="65" customFormat="1" ht="45" x14ac:dyDescent="0.25">
      <c r="A97" s="82">
        <v>90</v>
      </c>
      <c r="B97" s="82"/>
      <c r="C97" s="82"/>
      <c r="D97" s="82" t="s">
        <v>2442</v>
      </c>
      <c r="E97" s="82"/>
      <c r="F97" s="82"/>
      <c r="G97" s="83"/>
      <c r="H97" s="109"/>
      <c r="I97" s="109"/>
      <c r="J97" s="109"/>
      <c r="K97" s="109"/>
      <c r="L97" s="82" t="s">
        <v>58</v>
      </c>
      <c r="M97" s="82"/>
      <c r="N97" s="82"/>
      <c r="O97" s="119">
        <v>22000000</v>
      </c>
      <c r="P97" s="82"/>
      <c r="Q97" s="82" t="s">
        <v>2222</v>
      </c>
      <c r="R97" s="85"/>
      <c r="S97" s="85"/>
      <c r="T97" s="85"/>
      <c r="U97" s="85"/>
      <c r="V97" s="85"/>
      <c r="W97" s="85"/>
      <c r="X97" s="85"/>
      <c r="Y97" s="85"/>
      <c r="Z97" s="85"/>
    </row>
    <row r="98" spans="1:26" s="65" customFormat="1" x14ac:dyDescent="0.25">
      <c r="A98" s="82">
        <v>91</v>
      </c>
      <c r="B98" s="82"/>
      <c r="C98" s="82"/>
      <c r="D98" s="108" t="s">
        <v>2361</v>
      </c>
      <c r="E98" s="108"/>
      <c r="F98" s="108"/>
      <c r="G98" s="83"/>
      <c r="H98" s="109"/>
      <c r="I98" s="109"/>
      <c r="J98" s="109"/>
      <c r="K98" s="109"/>
      <c r="L98" s="108"/>
      <c r="M98" s="108"/>
      <c r="N98" s="108"/>
      <c r="O98" s="120">
        <v>28000000</v>
      </c>
      <c r="P98" s="82"/>
      <c r="Q98" s="82" t="s">
        <v>2222</v>
      </c>
      <c r="R98" s="85"/>
      <c r="S98" s="85"/>
      <c r="T98" s="85"/>
      <c r="U98" s="85"/>
      <c r="V98" s="85"/>
      <c r="W98" s="85"/>
      <c r="X98" s="85"/>
      <c r="Y98" s="85"/>
      <c r="Z98" s="85"/>
    </row>
    <row r="99" spans="1:26" s="65" customFormat="1" x14ac:dyDescent="0.25">
      <c r="A99" s="82">
        <v>92</v>
      </c>
      <c r="B99" s="82"/>
      <c r="C99" s="82"/>
      <c r="D99" s="108" t="s">
        <v>2362</v>
      </c>
      <c r="E99" s="108"/>
      <c r="F99" s="108"/>
      <c r="G99" s="83"/>
      <c r="H99" s="109"/>
      <c r="I99" s="109"/>
      <c r="J99" s="109"/>
      <c r="K99" s="109"/>
      <c r="L99" s="108"/>
      <c r="M99" s="108"/>
      <c r="N99" s="108"/>
      <c r="O99" s="120">
        <v>28000000</v>
      </c>
      <c r="P99" s="82"/>
      <c r="Q99" s="82" t="s">
        <v>2222</v>
      </c>
      <c r="R99" s="85"/>
      <c r="S99" s="85"/>
      <c r="T99" s="85"/>
      <c r="U99" s="85"/>
      <c r="V99" s="85"/>
      <c r="W99" s="85"/>
      <c r="X99" s="85"/>
      <c r="Y99" s="85"/>
      <c r="Z99" s="85"/>
    </row>
    <row r="100" spans="1:26" s="65" customFormat="1" x14ac:dyDescent="0.25">
      <c r="A100" s="121"/>
      <c r="B100" s="122"/>
      <c r="C100" s="122"/>
      <c r="D100" s="122"/>
      <c r="E100" s="122"/>
      <c r="F100" s="122"/>
      <c r="G100" s="123"/>
      <c r="H100" s="124"/>
      <c r="I100" s="124"/>
      <c r="J100" s="124"/>
      <c r="K100" s="124"/>
      <c r="L100" s="122"/>
      <c r="M100" s="122"/>
      <c r="N100" s="122"/>
      <c r="O100" s="125"/>
      <c r="P100" s="122"/>
      <c r="Q100" s="126"/>
      <c r="R100" s="81"/>
      <c r="S100" s="81"/>
      <c r="T100" s="81"/>
      <c r="U100" s="81"/>
      <c r="V100" s="81"/>
      <c r="W100" s="81"/>
      <c r="X100" s="81"/>
      <c r="Y100" s="81"/>
      <c r="Z100" s="81"/>
    </row>
    <row r="101" spans="1:26" s="127" customFormat="1" x14ac:dyDescent="0.25">
      <c r="A101" s="861" t="s">
        <v>2364</v>
      </c>
      <c r="B101" s="862"/>
      <c r="C101" s="862"/>
      <c r="D101" s="862"/>
      <c r="E101" s="862"/>
      <c r="F101" s="862"/>
      <c r="G101" s="862"/>
      <c r="H101" s="862"/>
      <c r="I101" s="862"/>
      <c r="J101" s="862"/>
      <c r="K101" s="862"/>
      <c r="L101" s="862"/>
      <c r="M101" s="862"/>
      <c r="N101" s="862"/>
      <c r="O101" s="862"/>
      <c r="P101" s="862"/>
      <c r="Q101" s="862"/>
    </row>
    <row r="102" spans="1:26" s="65" customFormat="1" ht="15" customHeight="1" x14ac:dyDescent="0.25">
      <c r="A102" s="836" t="s">
        <v>0</v>
      </c>
      <c r="B102" s="863" t="s">
        <v>2393</v>
      </c>
      <c r="C102" s="839" t="s">
        <v>2391</v>
      </c>
      <c r="D102" s="839" t="s">
        <v>3</v>
      </c>
      <c r="E102" s="836" t="s">
        <v>4</v>
      </c>
      <c r="F102" s="846" t="s">
        <v>5</v>
      </c>
      <c r="G102" s="826"/>
      <c r="H102" s="826"/>
      <c r="I102" s="826"/>
      <c r="J102" s="826"/>
      <c r="K102" s="827"/>
      <c r="L102" s="839" t="s">
        <v>2394</v>
      </c>
      <c r="M102" s="839" t="s">
        <v>7</v>
      </c>
      <c r="N102" s="847" t="s">
        <v>8</v>
      </c>
      <c r="O102" s="826"/>
      <c r="P102" s="827"/>
      <c r="Q102" s="836" t="s">
        <v>9</v>
      </c>
      <c r="R102" s="128"/>
      <c r="S102" s="128"/>
      <c r="T102" s="128"/>
      <c r="U102" s="128"/>
      <c r="V102" s="128"/>
      <c r="W102" s="128"/>
      <c r="X102" s="128"/>
      <c r="Y102" s="128"/>
      <c r="Z102" s="128"/>
    </row>
    <row r="103" spans="1:26" s="65" customFormat="1" ht="47.25" customHeight="1" x14ac:dyDescent="0.25">
      <c r="A103" s="852"/>
      <c r="B103" s="852"/>
      <c r="C103" s="852"/>
      <c r="D103" s="852"/>
      <c r="E103" s="852"/>
      <c r="F103" s="836" t="s">
        <v>2395</v>
      </c>
      <c r="G103" s="129" t="s">
        <v>11</v>
      </c>
      <c r="H103" s="129" t="s">
        <v>12</v>
      </c>
      <c r="I103" s="129" t="s">
        <v>13</v>
      </c>
      <c r="J103" s="129" t="s">
        <v>14</v>
      </c>
      <c r="K103" s="129" t="s">
        <v>15</v>
      </c>
      <c r="L103" s="852"/>
      <c r="M103" s="852"/>
      <c r="N103" s="823" t="s">
        <v>16</v>
      </c>
      <c r="O103" s="823" t="s">
        <v>17</v>
      </c>
      <c r="P103" s="823" t="s">
        <v>18</v>
      </c>
      <c r="Q103" s="852"/>
      <c r="R103" s="130"/>
      <c r="S103" s="130"/>
      <c r="T103" s="130"/>
      <c r="U103" s="130"/>
      <c r="V103" s="130"/>
      <c r="W103" s="130"/>
      <c r="X103" s="130"/>
      <c r="Y103" s="130"/>
      <c r="Z103" s="130"/>
    </row>
    <row r="104" spans="1:26" s="65" customFormat="1" ht="23.25" customHeight="1" x14ac:dyDescent="0.25">
      <c r="A104" s="824"/>
      <c r="B104" s="824"/>
      <c r="C104" s="824"/>
      <c r="D104" s="824"/>
      <c r="E104" s="824"/>
      <c r="F104" s="824"/>
      <c r="G104" s="825" t="s">
        <v>19</v>
      </c>
      <c r="H104" s="826"/>
      <c r="I104" s="826"/>
      <c r="J104" s="826"/>
      <c r="K104" s="827"/>
      <c r="L104" s="824"/>
      <c r="M104" s="824"/>
      <c r="N104" s="824"/>
      <c r="O104" s="824"/>
      <c r="P104" s="824"/>
      <c r="Q104" s="824"/>
      <c r="R104" s="130"/>
      <c r="S104" s="130"/>
      <c r="T104" s="130"/>
      <c r="U104" s="130"/>
      <c r="V104" s="130"/>
      <c r="W104" s="130"/>
      <c r="X104" s="130"/>
      <c r="Y104" s="130"/>
      <c r="Z104" s="130"/>
    </row>
    <row r="105" spans="1:26" s="65" customFormat="1" ht="20.25" customHeight="1" x14ac:dyDescent="0.25">
      <c r="A105" s="131" t="s">
        <v>20</v>
      </c>
      <c r="B105" s="131" t="s">
        <v>21</v>
      </c>
      <c r="C105" s="131" t="s">
        <v>22</v>
      </c>
      <c r="D105" s="131" t="s">
        <v>23</v>
      </c>
      <c r="E105" s="131" t="s">
        <v>24</v>
      </c>
      <c r="F105" s="131" t="s">
        <v>25</v>
      </c>
      <c r="G105" s="131" t="s">
        <v>26</v>
      </c>
      <c r="H105" s="131" t="s">
        <v>27</v>
      </c>
      <c r="I105" s="131" t="s">
        <v>28</v>
      </c>
      <c r="J105" s="131" t="s">
        <v>29</v>
      </c>
      <c r="K105" s="131" t="s">
        <v>30</v>
      </c>
      <c r="L105" s="131" t="s">
        <v>31</v>
      </c>
      <c r="M105" s="132" t="s">
        <v>32</v>
      </c>
      <c r="N105" s="131" t="s">
        <v>33</v>
      </c>
      <c r="O105" s="131" t="s">
        <v>34</v>
      </c>
      <c r="P105" s="131" t="s">
        <v>35</v>
      </c>
      <c r="Q105" s="131" t="s">
        <v>36</v>
      </c>
      <c r="R105" s="133"/>
      <c r="S105" s="133"/>
      <c r="T105" s="133"/>
      <c r="U105" s="133"/>
      <c r="V105" s="133"/>
      <c r="W105" s="133"/>
      <c r="X105" s="133"/>
      <c r="Y105" s="133"/>
      <c r="Z105" s="133"/>
    </row>
    <row r="106" spans="1:26" s="127" customFormat="1" x14ac:dyDescent="0.25">
      <c r="A106" s="828" t="s">
        <v>37</v>
      </c>
      <c r="B106" s="826"/>
      <c r="C106" s="826"/>
      <c r="D106" s="826"/>
      <c r="E106" s="826"/>
      <c r="F106" s="826"/>
      <c r="G106" s="826"/>
      <c r="H106" s="826"/>
      <c r="I106" s="826"/>
      <c r="J106" s="826"/>
      <c r="K106" s="826"/>
      <c r="L106" s="826"/>
      <c r="M106" s="826"/>
      <c r="N106" s="826"/>
      <c r="O106" s="826"/>
      <c r="P106" s="826"/>
      <c r="Q106" s="827"/>
    </row>
    <row r="107" spans="1:26" s="127" customFormat="1" ht="15" customHeight="1" x14ac:dyDescent="0.25">
      <c r="A107" s="134"/>
      <c r="B107" s="840" t="s">
        <v>2392</v>
      </c>
      <c r="C107" s="826"/>
      <c r="D107" s="826"/>
      <c r="E107" s="827"/>
      <c r="F107" s="135"/>
      <c r="G107" s="135"/>
      <c r="H107" s="135"/>
      <c r="I107" s="135"/>
      <c r="J107" s="135"/>
      <c r="K107" s="135"/>
      <c r="L107" s="135"/>
      <c r="M107" s="135"/>
      <c r="N107" s="135"/>
      <c r="O107" s="135"/>
      <c r="P107" s="135"/>
      <c r="Q107" s="136"/>
    </row>
    <row r="108" spans="1:26" s="65" customFormat="1" ht="90" x14ac:dyDescent="0.25">
      <c r="A108" s="137">
        <v>1</v>
      </c>
      <c r="B108" s="138" t="s">
        <v>44</v>
      </c>
      <c r="C108" s="99" t="s">
        <v>45</v>
      </c>
      <c r="D108" s="137" t="s">
        <v>46</v>
      </c>
      <c r="E108" s="137" t="s">
        <v>47</v>
      </c>
      <c r="F108" s="137" t="s">
        <v>48</v>
      </c>
      <c r="G108" s="137" t="s">
        <v>49</v>
      </c>
      <c r="H108" s="137" t="s">
        <v>49</v>
      </c>
      <c r="I108" s="137" t="s">
        <v>49</v>
      </c>
      <c r="J108" s="137" t="s">
        <v>49</v>
      </c>
      <c r="K108" s="137" t="s">
        <v>49</v>
      </c>
      <c r="L108" s="137" t="s">
        <v>50</v>
      </c>
      <c r="M108" s="139" t="s">
        <v>51</v>
      </c>
      <c r="N108" s="140">
        <v>200000000</v>
      </c>
      <c r="O108" s="141"/>
      <c r="P108" s="142"/>
      <c r="Q108" s="143"/>
    </row>
    <row r="109" spans="1:26" s="127" customFormat="1" x14ac:dyDescent="0.25">
      <c r="A109" s="835" t="s">
        <v>39</v>
      </c>
      <c r="B109" s="826"/>
      <c r="C109" s="826"/>
      <c r="D109" s="826"/>
      <c r="E109" s="826"/>
      <c r="F109" s="826"/>
      <c r="G109" s="826"/>
      <c r="H109" s="826"/>
      <c r="I109" s="826"/>
      <c r="J109" s="826"/>
      <c r="K109" s="826"/>
      <c r="L109" s="826"/>
      <c r="M109" s="826"/>
      <c r="N109" s="826"/>
      <c r="O109" s="826"/>
      <c r="P109" s="826"/>
      <c r="Q109" s="827"/>
    </row>
    <row r="110" spans="1:26" s="65" customFormat="1" ht="30" x14ac:dyDescent="0.25">
      <c r="A110" s="144">
        <v>1</v>
      </c>
      <c r="B110" s="145">
        <v>13.17</v>
      </c>
      <c r="C110" s="99" t="s">
        <v>53</v>
      </c>
      <c r="D110" s="99" t="s">
        <v>54</v>
      </c>
      <c r="E110" s="99" t="s">
        <v>55</v>
      </c>
      <c r="F110" s="99" t="s">
        <v>56</v>
      </c>
      <c r="G110" s="99" t="s">
        <v>49</v>
      </c>
      <c r="H110" s="99" t="s">
        <v>49</v>
      </c>
      <c r="I110" s="99"/>
      <c r="J110" s="99" t="s">
        <v>49</v>
      </c>
      <c r="K110" s="99" t="s">
        <v>49</v>
      </c>
      <c r="L110" s="99" t="s">
        <v>43</v>
      </c>
      <c r="M110" s="99" t="s">
        <v>57</v>
      </c>
      <c r="N110" s="140">
        <f>2*6000000</f>
        <v>12000000</v>
      </c>
      <c r="O110" s="146"/>
      <c r="P110" s="147"/>
      <c r="Q110" s="143"/>
    </row>
    <row r="111" spans="1:26" s="65" customFormat="1" ht="30" x14ac:dyDescent="0.25">
      <c r="A111" s="148">
        <v>2</v>
      </c>
      <c r="B111" s="145">
        <v>13.12</v>
      </c>
      <c r="C111" s="149" t="s">
        <v>59</v>
      </c>
      <c r="D111" s="149" t="s">
        <v>60</v>
      </c>
      <c r="E111" s="97" t="s">
        <v>61</v>
      </c>
      <c r="F111" s="97" t="s">
        <v>62</v>
      </c>
      <c r="G111" s="97"/>
      <c r="H111" s="97"/>
      <c r="I111" s="97"/>
      <c r="J111" s="97"/>
      <c r="K111" s="97"/>
      <c r="L111" s="97" t="s">
        <v>63</v>
      </c>
      <c r="M111" s="97" t="s">
        <v>64</v>
      </c>
      <c r="N111" s="150">
        <v>10000000</v>
      </c>
      <c r="O111" s="151"/>
      <c r="P111" s="152"/>
      <c r="Q111" s="143"/>
    </row>
    <row r="112" spans="1:26" s="65" customFormat="1" ht="30" x14ac:dyDescent="0.25">
      <c r="A112" s="144">
        <v>3</v>
      </c>
      <c r="B112" s="145">
        <v>13.09</v>
      </c>
      <c r="C112" s="149" t="s">
        <v>65</v>
      </c>
      <c r="D112" s="149" t="s">
        <v>66</v>
      </c>
      <c r="E112" s="97" t="s">
        <v>67</v>
      </c>
      <c r="F112" s="97" t="s">
        <v>68</v>
      </c>
      <c r="G112" s="97" t="s">
        <v>14</v>
      </c>
      <c r="H112" s="97" t="s">
        <v>14</v>
      </c>
      <c r="I112" s="97" t="s">
        <v>14</v>
      </c>
      <c r="J112" s="97" t="s">
        <v>14</v>
      </c>
      <c r="K112" s="97" t="s">
        <v>14</v>
      </c>
      <c r="L112" s="97" t="s">
        <v>69</v>
      </c>
      <c r="M112" s="97" t="s">
        <v>70</v>
      </c>
      <c r="N112" s="150">
        <v>8000000</v>
      </c>
      <c r="O112" s="151"/>
      <c r="P112" s="152"/>
      <c r="Q112" s="143"/>
    </row>
    <row r="113" spans="1:17" s="65" customFormat="1" ht="30" x14ac:dyDescent="0.25">
      <c r="A113" s="144">
        <v>4</v>
      </c>
      <c r="B113" s="145">
        <v>13.09</v>
      </c>
      <c r="C113" s="97" t="s">
        <v>71</v>
      </c>
      <c r="D113" s="149" t="s">
        <v>72</v>
      </c>
      <c r="E113" s="97" t="s">
        <v>73</v>
      </c>
      <c r="F113" s="97" t="s">
        <v>74</v>
      </c>
      <c r="G113" s="97"/>
      <c r="H113" s="97"/>
      <c r="I113" s="97"/>
      <c r="J113" s="97"/>
      <c r="K113" s="97"/>
      <c r="L113" s="97" t="s">
        <v>75</v>
      </c>
      <c r="M113" s="97" t="s">
        <v>76</v>
      </c>
      <c r="N113" s="150">
        <v>2400000</v>
      </c>
      <c r="O113" s="151"/>
      <c r="P113" s="152"/>
      <c r="Q113" s="143"/>
    </row>
    <row r="114" spans="1:17" s="65" customFormat="1" x14ac:dyDescent="0.25">
      <c r="A114" s="148">
        <v>5</v>
      </c>
      <c r="B114" s="145">
        <v>13.11</v>
      </c>
      <c r="C114" s="149" t="s">
        <v>83</v>
      </c>
      <c r="D114" s="149" t="s">
        <v>84</v>
      </c>
      <c r="E114" s="97" t="s">
        <v>85</v>
      </c>
      <c r="F114" s="97" t="s">
        <v>86</v>
      </c>
      <c r="G114" s="97"/>
      <c r="H114" s="97"/>
      <c r="I114" s="97" t="s">
        <v>14</v>
      </c>
      <c r="J114" s="97" t="s">
        <v>14</v>
      </c>
      <c r="K114" s="97"/>
      <c r="L114" s="97" t="s">
        <v>63</v>
      </c>
      <c r="M114" s="97" t="s">
        <v>87</v>
      </c>
      <c r="N114" s="150" t="s">
        <v>88</v>
      </c>
      <c r="O114" s="151"/>
      <c r="P114" s="152"/>
      <c r="Q114" s="143"/>
    </row>
    <row r="115" spans="1:17" s="65" customFormat="1" x14ac:dyDescent="0.25">
      <c r="A115" s="144">
        <v>6</v>
      </c>
      <c r="B115" s="145">
        <v>13.16</v>
      </c>
      <c r="C115" s="149" t="s">
        <v>89</v>
      </c>
      <c r="D115" s="149" t="s">
        <v>90</v>
      </c>
      <c r="E115" s="97" t="s">
        <v>91</v>
      </c>
      <c r="F115" s="97" t="s">
        <v>86</v>
      </c>
      <c r="G115" s="97"/>
      <c r="H115" s="97"/>
      <c r="I115" s="97"/>
      <c r="J115" s="97" t="s">
        <v>14</v>
      </c>
      <c r="K115" s="97" t="s">
        <v>14</v>
      </c>
      <c r="L115" s="97" t="s">
        <v>63</v>
      </c>
      <c r="M115" s="97" t="s">
        <v>92</v>
      </c>
      <c r="N115" s="150" t="s">
        <v>93</v>
      </c>
      <c r="O115" s="151"/>
      <c r="P115" s="152"/>
      <c r="Q115" s="143"/>
    </row>
    <row r="116" spans="1:17" s="65" customFormat="1" ht="30" x14ac:dyDescent="0.25">
      <c r="A116" s="144">
        <v>7</v>
      </c>
      <c r="B116" s="145">
        <v>13.15</v>
      </c>
      <c r="C116" s="149" t="s">
        <v>98</v>
      </c>
      <c r="D116" s="149" t="s">
        <v>99</v>
      </c>
      <c r="E116" s="97" t="s">
        <v>100</v>
      </c>
      <c r="F116" s="97" t="s">
        <v>86</v>
      </c>
      <c r="G116" s="97"/>
      <c r="H116" s="97"/>
      <c r="I116" s="97"/>
      <c r="J116" s="97" t="s">
        <v>14</v>
      </c>
      <c r="K116" s="97"/>
      <c r="L116" s="97" t="s">
        <v>63</v>
      </c>
      <c r="M116" s="149" t="s">
        <v>92</v>
      </c>
      <c r="N116" s="150" t="s">
        <v>101</v>
      </c>
      <c r="O116" s="151"/>
      <c r="P116" s="152"/>
      <c r="Q116" s="143"/>
    </row>
    <row r="117" spans="1:17" s="80" customFormat="1" ht="30" x14ac:dyDescent="0.2">
      <c r="A117" s="148">
        <v>8</v>
      </c>
      <c r="B117" s="145">
        <v>13.19</v>
      </c>
      <c r="C117" s="153" t="s">
        <v>102</v>
      </c>
      <c r="D117" s="99" t="s">
        <v>103</v>
      </c>
      <c r="E117" s="99" t="s">
        <v>104</v>
      </c>
      <c r="F117" s="99" t="s">
        <v>105</v>
      </c>
      <c r="G117" s="99" t="s">
        <v>49</v>
      </c>
      <c r="H117" s="99" t="s">
        <v>49</v>
      </c>
      <c r="I117" s="99" t="s">
        <v>49</v>
      </c>
      <c r="J117" s="99" t="s">
        <v>49</v>
      </c>
      <c r="K117" s="99" t="s">
        <v>49</v>
      </c>
      <c r="L117" s="99" t="s">
        <v>43</v>
      </c>
      <c r="M117" s="154" t="s">
        <v>106</v>
      </c>
      <c r="N117" s="140">
        <v>8000000</v>
      </c>
      <c r="O117" s="155"/>
      <c r="P117" s="156"/>
      <c r="Q117" s="143"/>
    </row>
    <row r="118" spans="1:17" s="163" customFormat="1" ht="60" x14ac:dyDescent="0.2">
      <c r="A118" s="144">
        <v>9</v>
      </c>
      <c r="B118" s="157">
        <v>13.16</v>
      </c>
      <c r="C118" s="158" t="s">
        <v>126</v>
      </c>
      <c r="D118" s="159" t="s">
        <v>127</v>
      </c>
      <c r="E118" s="159" t="s">
        <v>128</v>
      </c>
      <c r="F118" s="159" t="s">
        <v>129</v>
      </c>
      <c r="G118" s="147" t="s">
        <v>49</v>
      </c>
      <c r="H118" s="147"/>
      <c r="I118" s="147"/>
      <c r="J118" s="147" t="s">
        <v>49</v>
      </c>
      <c r="K118" s="147" t="s">
        <v>49</v>
      </c>
      <c r="L118" s="159" t="s">
        <v>130</v>
      </c>
      <c r="M118" s="160" t="s">
        <v>159</v>
      </c>
      <c r="N118" s="161">
        <v>2500000</v>
      </c>
      <c r="O118" s="162"/>
      <c r="P118" s="113"/>
      <c r="Q118" s="159"/>
    </row>
    <row r="119" spans="1:17" s="18" customFormat="1" ht="75" x14ac:dyDescent="0.2">
      <c r="A119" s="144">
        <v>10</v>
      </c>
      <c r="B119" s="164">
        <v>26.09</v>
      </c>
      <c r="C119" s="158" t="s">
        <v>134</v>
      </c>
      <c r="D119" s="165" t="s">
        <v>135</v>
      </c>
      <c r="E119" s="165" t="s">
        <v>136</v>
      </c>
      <c r="F119" s="165" t="s">
        <v>137</v>
      </c>
      <c r="G119" s="147" t="s">
        <v>49</v>
      </c>
      <c r="H119" s="147" t="s">
        <v>49</v>
      </c>
      <c r="I119" s="147" t="s">
        <v>49</v>
      </c>
      <c r="J119" s="147" t="s">
        <v>49</v>
      </c>
      <c r="K119" s="147" t="s">
        <v>49</v>
      </c>
      <c r="L119" s="165" t="s">
        <v>138</v>
      </c>
      <c r="M119" s="166" t="s">
        <v>106</v>
      </c>
      <c r="N119" s="167">
        <v>550000</v>
      </c>
      <c r="O119" s="168"/>
      <c r="P119" s="147"/>
      <c r="Q119" s="143"/>
    </row>
    <row r="120" spans="1:17" s="18" customFormat="1" ht="88.5" customHeight="1" x14ac:dyDescent="0.2">
      <c r="A120" s="148">
        <v>11</v>
      </c>
      <c r="B120" s="169" t="s">
        <v>139</v>
      </c>
      <c r="C120" s="170" t="s">
        <v>140</v>
      </c>
      <c r="D120" s="171" t="s">
        <v>141</v>
      </c>
      <c r="E120" s="171" t="s">
        <v>142</v>
      </c>
      <c r="F120" s="171" t="s">
        <v>639</v>
      </c>
      <c r="G120" s="171" t="s">
        <v>49</v>
      </c>
      <c r="H120" s="171" t="s">
        <v>49</v>
      </c>
      <c r="I120" s="171"/>
      <c r="J120" s="171" t="s">
        <v>49</v>
      </c>
      <c r="K120" s="171" t="s">
        <v>49</v>
      </c>
      <c r="L120" s="171" t="s">
        <v>143</v>
      </c>
      <c r="M120" s="172" t="s">
        <v>87</v>
      </c>
      <c r="N120" s="173">
        <v>2700000</v>
      </c>
      <c r="O120" s="174"/>
      <c r="P120" s="175"/>
      <c r="Q120" s="143"/>
    </row>
    <row r="121" spans="1:17" s="182" customFormat="1" ht="60" x14ac:dyDescent="0.2">
      <c r="A121" s="144">
        <v>12</v>
      </c>
      <c r="B121" s="176">
        <v>0.54999999999999993</v>
      </c>
      <c r="C121" s="153" t="s">
        <v>144</v>
      </c>
      <c r="D121" s="99" t="s">
        <v>145</v>
      </c>
      <c r="E121" s="33" t="s">
        <v>146</v>
      </c>
      <c r="F121" s="33" t="s">
        <v>147</v>
      </c>
      <c r="G121" s="177" t="s">
        <v>49</v>
      </c>
      <c r="H121" s="177" t="s">
        <v>49</v>
      </c>
      <c r="I121" s="177" t="s">
        <v>49</v>
      </c>
      <c r="J121" s="177" t="s">
        <v>49</v>
      </c>
      <c r="K121" s="177"/>
      <c r="L121" s="33" t="s">
        <v>148</v>
      </c>
      <c r="M121" s="153" t="s">
        <v>162</v>
      </c>
      <c r="N121" s="178">
        <f>12*610000</f>
        <v>7320000</v>
      </c>
      <c r="O121" s="179"/>
      <c r="P121" s="180"/>
      <c r="Q121" s="181"/>
    </row>
    <row r="122" spans="1:17" s="182" customFormat="1" ht="75" x14ac:dyDescent="0.2">
      <c r="A122" s="144">
        <v>13</v>
      </c>
      <c r="B122" s="183" t="s">
        <v>149</v>
      </c>
      <c r="C122" s="153" t="s">
        <v>126</v>
      </c>
      <c r="D122" s="184" t="s">
        <v>150</v>
      </c>
      <c r="E122" s="185" t="s">
        <v>151</v>
      </c>
      <c r="F122" s="185" t="s">
        <v>152</v>
      </c>
      <c r="G122" s="186" t="s">
        <v>49</v>
      </c>
      <c r="H122" s="186" t="s">
        <v>49</v>
      </c>
      <c r="I122" s="186" t="s">
        <v>49</v>
      </c>
      <c r="J122" s="186" t="s">
        <v>49</v>
      </c>
      <c r="K122" s="186" t="s">
        <v>49</v>
      </c>
      <c r="L122" s="185" t="s">
        <v>153</v>
      </c>
      <c r="M122" s="172" t="s">
        <v>163</v>
      </c>
      <c r="N122" s="187">
        <v>3500000</v>
      </c>
      <c r="O122" s="188"/>
      <c r="P122" s="180"/>
      <c r="Q122" s="189"/>
    </row>
    <row r="123" spans="1:17" s="80" customFormat="1" ht="30" x14ac:dyDescent="0.2">
      <c r="A123" s="148">
        <v>14</v>
      </c>
      <c r="B123" s="145">
        <v>26.21</v>
      </c>
      <c r="C123" s="190" t="s">
        <v>170</v>
      </c>
      <c r="D123" s="149" t="s">
        <v>171</v>
      </c>
      <c r="E123" s="97" t="s">
        <v>172</v>
      </c>
      <c r="F123" s="97" t="s">
        <v>173</v>
      </c>
      <c r="G123" s="97"/>
      <c r="H123" s="191"/>
      <c r="I123" s="191"/>
      <c r="J123" s="191" t="s">
        <v>14</v>
      </c>
      <c r="K123" s="191" t="s">
        <v>14</v>
      </c>
      <c r="L123" s="97" t="s">
        <v>63</v>
      </c>
      <c r="M123" s="192" t="s">
        <v>168</v>
      </c>
      <c r="N123" s="193" t="s">
        <v>93</v>
      </c>
      <c r="O123" s="151"/>
      <c r="P123" s="152"/>
      <c r="Q123" s="189"/>
    </row>
    <row r="124" spans="1:17" s="80" customFormat="1" ht="64.5" customHeight="1" x14ac:dyDescent="0.2">
      <c r="A124" s="144">
        <v>15</v>
      </c>
      <c r="B124" s="194" t="s">
        <v>77</v>
      </c>
      <c r="C124" s="190" t="s">
        <v>78</v>
      </c>
      <c r="D124" s="149" t="s">
        <v>79</v>
      </c>
      <c r="E124" s="97" t="s">
        <v>80</v>
      </c>
      <c r="F124" s="97" t="s">
        <v>81</v>
      </c>
      <c r="G124" s="191"/>
      <c r="H124" s="191"/>
      <c r="I124" s="191"/>
      <c r="J124" s="191" t="s">
        <v>14</v>
      </c>
      <c r="K124" s="191"/>
      <c r="L124" s="97" t="s">
        <v>63</v>
      </c>
      <c r="M124" s="192" t="s">
        <v>82</v>
      </c>
      <c r="N124" s="195"/>
      <c r="O124" s="151">
        <v>18000000</v>
      </c>
      <c r="P124" s="152"/>
      <c r="Q124" s="44" t="s">
        <v>1072</v>
      </c>
    </row>
    <row r="125" spans="1:17" s="199" customFormat="1" ht="45" x14ac:dyDescent="0.2">
      <c r="A125" s="144">
        <v>16</v>
      </c>
      <c r="B125" s="196">
        <v>19.04</v>
      </c>
      <c r="C125" s="159" t="s">
        <v>120</v>
      </c>
      <c r="D125" s="3" t="s">
        <v>121</v>
      </c>
      <c r="E125" s="3" t="s">
        <v>122</v>
      </c>
      <c r="F125" s="3" t="s">
        <v>123</v>
      </c>
      <c r="G125" s="3" t="s">
        <v>49</v>
      </c>
      <c r="H125" s="3" t="s">
        <v>49</v>
      </c>
      <c r="I125" s="3" t="s">
        <v>49</v>
      </c>
      <c r="J125" s="3" t="s">
        <v>49</v>
      </c>
      <c r="K125" s="3" t="s">
        <v>49</v>
      </c>
      <c r="L125" s="3" t="s">
        <v>124</v>
      </c>
      <c r="M125" s="197" t="s">
        <v>125</v>
      </c>
      <c r="N125" s="161"/>
      <c r="O125" s="198">
        <v>2875000</v>
      </c>
      <c r="P125" s="2"/>
      <c r="Q125" s="44" t="s">
        <v>1072</v>
      </c>
    </row>
    <row r="126" spans="1:17" s="182" customFormat="1" ht="66.75" customHeight="1" x14ac:dyDescent="0.2">
      <c r="A126" s="148">
        <v>17</v>
      </c>
      <c r="B126" s="183">
        <v>0.7993055555555556</v>
      </c>
      <c r="C126" s="200" t="s">
        <v>154</v>
      </c>
      <c r="D126" s="184" t="s">
        <v>155</v>
      </c>
      <c r="E126" s="201" t="s">
        <v>156</v>
      </c>
      <c r="F126" s="33" t="s">
        <v>157</v>
      </c>
      <c r="G126" s="177" t="s">
        <v>49</v>
      </c>
      <c r="H126" s="177" t="s">
        <v>49</v>
      </c>
      <c r="I126" s="177"/>
      <c r="J126" s="177" t="s">
        <v>49</v>
      </c>
      <c r="K126" s="177" t="s">
        <v>49</v>
      </c>
      <c r="L126" s="33" t="s">
        <v>148</v>
      </c>
      <c r="M126" s="202" t="s">
        <v>106</v>
      </c>
      <c r="N126" s="178"/>
      <c r="O126" s="203">
        <v>2000000</v>
      </c>
      <c r="P126" s="180"/>
      <c r="Q126" s="44" t="s">
        <v>1072</v>
      </c>
    </row>
    <row r="127" spans="1:17" s="80" customFormat="1" ht="45" x14ac:dyDescent="0.2">
      <c r="A127" s="144">
        <v>18</v>
      </c>
      <c r="B127" s="145">
        <v>18.02</v>
      </c>
      <c r="C127" s="190" t="s">
        <v>94</v>
      </c>
      <c r="D127" s="97" t="s">
        <v>95</v>
      </c>
      <c r="E127" s="97" t="s">
        <v>96</v>
      </c>
      <c r="F127" s="97" t="s">
        <v>86</v>
      </c>
      <c r="G127" s="191"/>
      <c r="H127" s="191"/>
      <c r="I127" s="191"/>
      <c r="J127" s="191" t="s">
        <v>14</v>
      </c>
      <c r="K127" s="191" t="s">
        <v>14</v>
      </c>
      <c r="L127" s="97" t="s">
        <v>63</v>
      </c>
      <c r="M127" s="192" t="s">
        <v>97</v>
      </c>
      <c r="N127" s="204"/>
      <c r="O127" s="151">
        <v>5000000</v>
      </c>
      <c r="P127" s="152"/>
      <c r="Q127" s="165" t="s">
        <v>158</v>
      </c>
    </row>
    <row r="128" spans="1:17" s="80" customFormat="1" ht="45" x14ac:dyDescent="0.2">
      <c r="A128" s="144">
        <v>19</v>
      </c>
      <c r="B128" s="205">
        <v>25.04</v>
      </c>
      <c r="C128" s="165" t="s">
        <v>107</v>
      </c>
      <c r="D128" s="165" t="s">
        <v>108</v>
      </c>
      <c r="E128" s="165" t="s">
        <v>109</v>
      </c>
      <c r="F128" s="165" t="s">
        <v>110</v>
      </c>
      <c r="G128" s="165" t="s">
        <v>49</v>
      </c>
      <c r="H128" s="165" t="s">
        <v>49</v>
      </c>
      <c r="I128" s="165" t="s">
        <v>49</v>
      </c>
      <c r="J128" s="165" t="s">
        <v>49</v>
      </c>
      <c r="K128" s="165" t="s">
        <v>49</v>
      </c>
      <c r="L128" s="165" t="s">
        <v>111</v>
      </c>
      <c r="M128" s="165" t="s">
        <v>112</v>
      </c>
      <c r="N128" s="206"/>
      <c r="O128" s="207">
        <v>8000000</v>
      </c>
      <c r="Q128" s="165" t="s">
        <v>113</v>
      </c>
    </row>
    <row r="129" spans="1:17" s="80" customFormat="1" ht="60" x14ac:dyDescent="0.2">
      <c r="A129" s="148">
        <v>20</v>
      </c>
      <c r="B129" s="205">
        <v>25.04</v>
      </c>
      <c r="C129" s="165" t="s">
        <v>107</v>
      </c>
      <c r="D129" s="165" t="s">
        <v>114</v>
      </c>
      <c r="E129" s="165" t="s">
        <v>109</v>
      </c>
      <c r="F129" s="165" t="s">
        <v>110</v>
      </c>
      <c r="G129" s="165" t="s">
        <v>49</v>
      </c>
      <c r="H129" s="165" t="s">
        <v>49</v>
      </c>
      <c r="I129" s="165" t="s">
        <v>49</v>
      </c>
      <c r="J129" s="165" t="s">
        <v>49</v>
      </c>
      <c r="K129" s="165" t="s">
        <v>49</v>
      </c>
      <c r="L129" s="165" t="s">
        <v>111</v>
      </c>
      <c r="M129" s="165" t="s">
        <v>115</v>
      </c>
      <c r="N129" s="206"/>
      <c r="O129" s="207">
        <v>8000000</v>
      </c>
      <c r="Q129" s="165" t="s">
        <v>113</v>
      </c>
    </row>
    <row r="130" spans="1:17" s="163" customFormat="1" ht="60" x14ac:dyDescent="0.2">
      <c r="A130" s="144">
        <v>21</v>
      </c>
      <c r="B130" s="157">
        <v>25.04</v>
      </c>
      <c r="C130" s="158" t="s">
        <v>132</v>
      </c>
      <c r="D130" s="159" t="s">
        <v>133</v>
      </c>
      <c r="E130" s="159" t="s">
        <v>128</v>
      </c>
      <c r="F130" s="159" t="s">
        <v>129</v>
      </c>
      <c r="G130" s="147" t="s">
        <v>49</v>
      </c>
      <c r="H130" s="147"/>
      <c r="I130" s="147"/>
      <c r="J130" s="147" t="s">
        <v>49</v>
      </c>
      <c r="K130" s="147" t="s">
        <v>49</v>
      </c>
      <c r="L130" s="159" t="s">
        <v>130</v>
      </c>
      <c r="M130" s="160" t="s">
        <v>160</v>
      </c>
      <c r="N130" s="208"/>
      <c r="O130" s="209">
        <v>8000000</v>
      </c>
      <c r="P130" s="147"/>
      <c r="Q130" s="159" t="s">
        <v>113</v>
      </c>
    </row>
    <row r="131" spans="1:17" s="80" customFormat="1" ht="123.75" customHeight="1" x14ac:dyDescent="0.2">
      <c r="A131" s="144">
        <v>22</v>
      </c>
      <c r="B131" s="210">
        <v>10.039999999999999</v>
      </c>
      <c r="C131" s="211" t="s">
        <v>116</v>
      </c>
      <c r="D131" s="165" t="s">
        <v>161</v>
      </c>
      <c r="E131" s="165" t="s">
        <v>117</v>
      </c>
      <c r="F131" s="165" t="s">
        <v>118</v>
      </c>
      <c r="G131" s="165"/>
      <c r="H131" s="165"/>
      <c r="I131" s="165"/>
      <c r="J131" s="165"/>
      <c r="K131" s="165"/>
      <c r="L131" s="165" t="s">
        <v>119</v>
      </c>
      <c r="M131" s="166"/>
      <c r="N131" s="206"/>
      <c r="O131" s="207">
        <v>86000000</v>
      </c>
      <c r="P131" s="212"/>
      <c r="Q131" s="213" t="s">
        <v>641</v>
      </c>
    </row>
    <row r="132" spans="1:17" ht="15.75" customHeight="1" x14ac:dyDescent="0.2">
      <c r="A132" s="866" t="s">
        <v>40</v>
      </c>
      <c r="B132" s="854"/>
      <c r="C132" s="854"/>
      <c r="D132" s="854"/>
      <c r="E132" s="854"/>
      <c r="F132" s="854"/>
      <c r="G132" s="854"/>
      <c r="H132" s="854"/>
      <c r="I132" s="854"/>
      <c r="J132" s="854"/>
      <c r="K132" s="854"/>
      <c r="L132" s="854"/>
      <c r="M132" s="854"/>
      <c r="N132" s="854"/>
      <c r="O132" s="854"/>
      <c r="P132" s="854"/>
      <c r="Q132" s="855"/>
    </row>
    <row r="133" spans="1:17" s="182" customFormat="1" ht="45" x14ac:dyDescent="0.2">
      <c r="A133" s="148">
        <v>1</v>
      </c>
      <c r="B133" s="2">
        <v>13.1</v>
      </c>
      <c r="C133" s="158" t="s">
        <v>378</v>
      </c>
      <c r="D133" s="117" t="s">
        <v>379</v>
      </c>
      <c r="E133" s="159" t="s">
        <v>380</v>
      </c>
      <c r="F133" s="159"/>
      <c r="G133" s="159"/>
      <c r="H133" s="159"/>
      <c r="I133" s="159"/>
      <c r="J133" s="159"/>
      <c r="K133" s="159"/>
      <c r="L133" s="159" t="s">
        <v>381</v>
      </c>
      <c r="M133" s="214" t="s">
        <v>648</v>
      </c>
      <c r="N133" s="161">
        <f>480*20000</f>
        <v>9600000</v>
      </c>
      <c r="O133" s="209"/>
      <c r="P133" s="215"/>
      <c r="Q133" s="159"/>
    </row>
    <row r="134" spans="1:17" s="18" customFormat="1" ht="45" x14ac:dyDescent="0.2">
      <c r="A134" s="148">
        <v>2</v>
      </c>
      <c r="B134" s="145">
        <v>13.01</v>
      </c>
      <c r="C134" s="153" t="s">
        <v>263</v>
      </c>
      <c r="D134" s="99" t="s">
        <v>264</v>
      </c>
      <c r="E134" s="99" t="s">
        <v>265</v>
      </c>
      <c r="F134" s="99" t="s">
        <v>266</v>
      </c>
      <c r="G134" s="99"/>
      <c r="H134" s="99"/>
      <c r="I134" s="99"/>
      <c r="J134" s="99" t="s">
        <v>49</v>
      </c>
      <c r="K134" s="99"/>
      <c r="L134" s="99" t="s">
        <v>43</v>
      </c>
      <c r="M134" s="153" t="s">
        <v>267</v>
      </c>
      <c r="N134" s="140">
        <v>3500000</v>
      </c>
      <c r="O134" s="146"/>
      <c r="P134" s="147"/>
      <c r="Q134" s="189"/>
    </row>
    <row r="135" spans="1:17" s="18" customFormat="1" ht="75" x14ac:dyDescent="0.2">
      <c r="A135" s="148">
        <v>3</v>
      </c>
      <c r="B135" s="216" t="s">
        <v>473</v>
      </c>
      <c r="C135" s="217" t="s">
        <v>474</v>
      </c>
      <c r="D135" s="218" t="s">
        <v>475</v>
      </c>
      <c r="E135" s="218" t="s">
        <v>476</v>
      </c>
      <c r="F135" s="218" t="s">
        <v>477</v>
      </c>
      <c r="G135" s="218" t="s">
        <v>49</v>
      </c>
      <c r="H135" s="218"/>
      <c r="I135" s="218"/>
      <c r="J135" s="218" t="s">
        <v>49</v>
      </c>
      <c r="K135" s="218"/>
      <c r="L135" s="218" t="s">
        <v>16</v>
      </c>
      <c r="M135" s="219" t="s">
        <v>57</v>
      </c>
      <c r="N135" s="220">
        <v>6000000</v>
      </c>
      <c r="O135" s="221"/>
      <c r="P135" s="222"/>
      <c r="Q135" s="159"/>
    </row>
    <row r="136" spans="1:17" s="18" customFormat="1" ht="45" x14ac:dyDescent="0.2">
      <c r="A136" s="148">
        <v>4</v>
      </c>
      <c r="B136" s="145">
        <v>13.07</v>
      </c>
      <c r="C136" s="153" t="s">
        <v>223</v>
      </c>
      <c r="D136" s="99" t="s">
        <v>224</v>
      </c>
      <c r="E136" s="99" t="s">
        <v>225</v>
      </c>
      <c r="F136" s="99" t="s">
        <v>226</v>
      </c>
      <c r="G136" s="99"/>
      <c r="H136" s="99"/>
      <c r="I136" s="99" t="s">
        <v>49</v>
      </c>
      <c r="J136" s="99"/>
      <c r="K136" s="99"/>
      <c r="L136" s="99" t="s">
        <v>43</v>
      </c>
      <c r="M136" s="153" t="s">
        <v>227</v>
      </c>
      <c r="N136" s="140">
        <v>10000000</v>
      </c>
      <c r="O136" s="146"/>
      <c r="P136" s="147"/>
      <c r="Q136" s="189"/>
    </row>
    <row r="137" spans="1:17" s="41" customFormat="1" ht="30" x14ac:dyDescent="0.2">
      <c r="A137" s="148">
        <v>5</v>
      </c>
      <c r="B137" s="20">
        <v>13.17</v>
      </c>
      <c r="C137" s="21" t="s">
        <v>607</v>
      </c>
      <c r="D137" s="20" t="s">
        <v>608</v>
      </c>
      <c r="E137" s="20" t="s">
        <v>609</v>
      </c>
      <c r="F137" s="22" t="s">
        <v>610</v>
      </c>
      <c r="G137" s="20" t="s">
        <v>49</v>
      </c>
      <c r="H137" s="20" t="s">
        <v>49</v>
      </c>
      <c r="I137" s="20" t="s">
        <v>49</v>
      </c>
      <c r="J137" s="20" t="s">
        <v>49</v>
      </c>
      <c r="K137" s="20"/>
      <c r="L137" s="20" t="s">
        <v>43</v>
      </c>
      <c r="M137" s="223" t="s">
        <v>669</v>
      </c>
      <c r="N137" s="14">
        <v>6000000</v>
      </c>
      <c r="O137" s="15"/>
      <c r="P137" s="30"/>
      <c r="Q137" s="31"/>
    </row>
    <row r="138" spans="1:17" s="182" customFormat="1" ht="60" x14ac:dyDescent="0.2">
      <c r="A138" s="148">
        <v>6</v>
      </c>
      <c r="B138" s="3">
        <v>13.12</v>
      </c>
      <c r="C138" s="224" t="s">
        <v>780</v>
      </c>
      <c r="D138" s="159" t="s">
        <v>626</v>
      </c>
      <c r="E138" s="159" t="s">
        <v>627</v>
      </c>
      <c r="F138" s="159" t="s">
        <v>628</v>
      </c>
      <c r="G138" s="159" t="s">
        <v>49</v>
      </c>
      <c r="H138" s="159"/>
      <c r="I138" s="159"/>
      <c r="J138" s="159" t="s">
        <v>49</v>
      </c>
      <c r="K138" s="159" t="s">
        <v>49</v>
      </c>
      <c r="L138" s="159" t="s">
        <v>138</v>
      </c>
      <c r="M138" s="225" t="s">
        <v>682</v>
      </c>
      <c r="N138" s="161">
        <v>2160000</v>
      </c>
      <c r="O138" s="209"/>
      <c r="P138" s="215"/>
      <c r="Q138" s="226"/>
    </row>
    <row r="139" spans="1:17" s="18" customFormat="1" ht="30" x14ac:dyDescent="0.2">
      <c r="A139" s="148">
        <v>7</v>
      </c>
      <c r="B139" s="145">
        <v>13.16</v>
      </c>
      <c r="C139" s="153" t="s">
        <v>126</v>
      </c>
      <c r="D139" s="99" t="s">
        <v>228</v>
      </c>
      <c r="E139" s="99" t="s">
        <v>229</v>
      </c>
      <c r="F139" s="99" t="s">
        <v>230</v>
      </c>
      <c r="G139" s="99"/>
      <c r="H139" s="99"/>
      <c r="I139" s="99"/>
      <c r="J139" s="99" t="s">
        <v>49</v>
      </c>
      <c r="K139" s="99"/>
      <c r="L139" s="99" t="s">
        <v>43</v>
      </c>
      <c r="M139" s="153" t="s">
        <v>231</v>
      </c>
      <c r="N139" s="140">
        <v>10000000</v>
      </c>
      <c r="O139" s="146"/>
      <c r="P139" s="147"/>
      <c r="Q139" s="189"/>
    </row>
    <row r="140" spans="1:17" s="18" customFormat="1" ht="45" x14ac:dyDescent="0.2">
      <c r="A140" s="148">
        <v>8</v>
      </c>
      <c r="B140" s="145">
        <v>13.18</v>
      </c>
      <c r="C140" s="153" t="s">
        <v>232</v>
      </c>
      <c r="D140" s="99" t="s">
        <v>233</v>
      </c>
      <c r="E140" s="99" t="s">
        <v>234</v>
      </c>
      <c r="F140" s="99" t="s">
        <v>235</v>
      </c>
      <c r="G140" s="99"/>
      <c r="H140" s="99"/>
      <c r="I140" s="99"/>
      <c r="J140" s="99" t="s">
        <v>49</v>
      </c>
      <c r="K140" s="99" t="s">
        <v>49</v>
      </c>
      <c r="L140" s="99" t="s">
        <v>43</v>
      </c>
      <c r="M140" s="153" t="s">
        <v>106</v>
      </c>
      <c r="N140" s="140">
        <v>2500000</v>
      </c>
      <c r="O140" s="146"/>
      <c r="P140" s="147"/>
      <c r="Q140" s="189"/>
    </row>
    <row r="141" spans="1:17" s="18" customFormat="1" ht="45" x14ac:dyDescent="0.2">
      <c r="A141" s="148">
        <v>9</v>
      </c>
      <c r="B141" s="145">
        <v>13.18</v>
      </c>
      <c r="C141" s="153" t="s">
        <v>232</v>
      </c>
      <c r="D141" s="99" t="s">
        <v>236</v>
      </c>
      <c r="E141" s="99" t="s">
        <v>237</v>
      </c>
      <c r="F141" s="99" t="s">
        <v>238</v>
      </c>
      <c r="G141" s="99"/>
      <c r="H141" s="99"/>
      <c r="I141" s="99"/>
      <c r="J141" s="99" t="s">
        <v>49</v>
      </c>
      <c r="K141" s="99"/>
      <c r="L141" s="99" t="s">
        <v>43</v>
      </c>
      <c r="M141" s="153" t="s">
        <v>239</v>
      </c>
      <c r="N141" s="140">
        <v>3500000</v>
      </c>
      <c r="O141" s="146"/>
      <c r="P141" s="147"/>
      <c r="Q141" s="189"/>
    </row>
    <row r="142" spans="1:17" s="18" customFormat="1" ht="30" x14ac:dyDescent="0.2">
      <c r="A142" s="148">
        <v>10</v>
      </c>
      <c r="B142" s="145">
        <v>13.16</v>
      </c>
      <c r="C142" s="153" t="s">
        <v>126</v>
      </c>
      <c r="D142" s="99" t="s">
        <v>240</v>
      </c>
      <c r="E142" s="99" t="s">
        <v>241</v>
      </c>
      <c r="F142" s="99" t="s">
        <v>242</v>
      </c>
      <c r="G142" s="99"/>
      <c r="H142" s="99"/>
      <c r="I142" s="99"/>
      <c r="J142" s="99" t="s">
        <v>49</v>
      </c>
      <c r="K142" s="99"/>
      <c r="L142" s="99" t="s">
        <v>43</v>
      </c>
      <c r="M142" s="153" t="s">
        <v>239</v>
      </c>
      <c r="N142" s="140">
        <v>5000000</v>
      </c>
      <c r="O142" s="146"/>
      <c r="P142" s="147"/>
      <c r="Q142" s="189"/>
    </row>
    <row r="143" spans="1:17" s="18" customFormat="1" ht="45" x14ac:dyDescent="0.2">
      <c r="A143" s="148">
        <v>11</v>
      </c>
      <c r="B143" s="145">
        <v>13.18</v>
      </c>
      <c r="C143" s="153" t="s">
        <v>232</v>
      </c>
      <c r="D143" s="99" t="s">
        <v>246</v>
      </c>
      <c r="E143" s="99" t="s">
        <v>247</v>
      </c>
      <c r="F143" s="99" t="s">
        <v>248</v>
      </c>
      <c r="G143" s="99"/>
      <c r="H143" s="99"/>
      <c r="I143" s="99" t="s">
        <v>49</v>
      </c>
      <c r="J143" s="99" t="s">
        <v>49</v>
      </c>
      <c r="K143" s="99"/>
      <c r="L143" s="99" t="s">
        <v>43</v>
      </c>
      <c r="M143" s="153" t="s">
        <v>249</v>
      </c>
      <c r="N143" s="140">
        <v>7000000</v>
      </c>
      <c r="O143" s="146"/>
      <c r="P143" s="147"/>
      <c r="Q143" s="189"/>
    </row>
    <row r="144" spans="1:17" s="18" customFormat="1" ht="45" x14ac:dyDescent="0.2">
      <c r="A144" s="148">
        <v>12</v>
      </c>
      <c r="B144" s="145">
        <v>13.18</v>
      </c>
      <c r="C144" s="153" t="s">
        <v>232</v>
      </c>
      <c r="D144" s="99" t="s">
        <v>250</v>
      </c>
      <c r="E144" s="99" t="s">
        <v>251</v>
      </c>
      <c r="F144" s="99" t="s">
        <v>252</v>
      </c>
      <c r="G144" s="99"/>
      <c r="H144" s="99"/>
      <c r="I144" s="99"/>
      <c r="J144" s="99" t="s">
        <v>49</v>
      </c>
      <c r="K144" s="99"/>
      <c r="L144" s="99" t="s">
        <v>43</v>
      </c>
      <c r="M144" s="153" t="s">
        <v>239</v>
      </c>
      <c r="N144" s="140">
        <v>3000000</v>
      </c>
      <c r="O144" s="146"/>
      <c r="P144" s="147"/>
      <c r="Q144" s="189"/>
    </row>
    <row r="145" spans="1:17" s="18" customFormat="1" ht="45" x14ac:dyDescent="0.2">
      <c r="A145" s="148">
        <v>13</v>
      </c>
      <c r="B145" s="145">
        <v>13.18</v>
      </c>
      <c r="C145" s="153" t="s">
        <v>232</v>
      </c>
      <c r="D145" s="99" t="s">
        <v>261</v>
      </c>
      <c r="E145" s="99" t="s">
        <v>262</v>
      </c>
      <c r="F145" s="99" t="s">
        <v>252</v>
      </c>
      <c r="G145" s="99"/>
      <c r="H145" s="99"/>
      <c r="I145" s="99" t="s">
        <v>49</v>
      </c>
      <c r="J145" s="99" t="s">
        <v>49</v>
      </c>
      <c r="K145" s="99"/>
      <c r="L145" s="99" t="s">
        <v>43</v>
      </c>
      <c r="M145" s="153" t="s">
        <v>239</v>
      </c>
      <c r="N145" s="140">
        <v>3500000</v>
      </c>
      <c r="O145" s="146"/>
      <c r="P145" s="147"/>
      <c r="Q145" s="189"/>
    </row>
    <row r="146" spans="1:17" s="18" customFormat="1" ht="45" x14ac:dyDescent="0.2">
      <c r="A146" s="148">
        <v>14</v>
      </c>
      <c r="B146" s="145">
        <v>13.13</v>
      </c>
      <c r="C146" s="153" t="s">
        <v>268</v>
      </c>
      <c r="D146" s="99" t="s">
        <v>269</v>
      </c>
      <c r="E146" s="99" t="s">
        <v>270</v>
      </c>
      <c r="F146" s="99" t="s">
        <v>271</v>
      </c>
      <c r="G146" s="99"/>
      <c r="H146" s="99"/>
      <c r="I146" s="99" t="s">
        <v>49</v>
      </c>
      <c r="J146" s="99" t="s">
        <v>49</v>
      </c>
      <c r="K146" s="99"/>
      <c r="L146" s="99" t="s">
        <v>43</v>
      </c>
      <c r="M146" s="153" t="s">
        <v>272</v>
      </c>
      <c r="N146" s="140">
        <v>3500000</v>
      </c>
      <c r="O146" s="146"/>
      <c r="P146" s="147"/>
      <c r="Q146" s="189"/>
    </row>
    <row r="147" spans="1:17" s="18" customFormat="1" ht="45" x14ac:dyDescent="0.2">
      <c r="A147" s="148">
        <v>15</v>
      </c>
      <c r="B147" s="145">
        <v>13.16</v>
      </c>
      <c r="C147" s="153" t="s">
        <v>126</v>
      </c>
      <c r="D147" s="99" t="s">
        <v>278</v>
      </c>
      <c r="E147" s="99" t="s">
        <v>279</v>
      </c>
      <c r="F147" s="99" t="s">
        <v>280</v>
      </c>
      <c r="G147" s="99"/>
      <c r="H147" s="99"/>
      <c r="I147" s="99"/>
      <c r="J147" s="99" t="s">
        <v>49</v>
      </c>
      <c r="K147" s="99"/>
      <c r="L147" s="99" t="s">
        <v>43</v>
      </c>
      <c r="M147" s="153" t="s">
        <v>281</v>
      </c>
      <c r="N147" s="140">
        <v>20000000</v>
      </c>
      <c r="O147" s="146"/>
      <c r="P147" s="147"/>
      <c r="Q147" s="189"/>
    </row>
    <row r="148" spans="1:17" s="80" customFormat="1" ht="45" x14ac:dyDescent="0.2">
      <c r="A148" s="148">
        <v>16</v>
      </c>
      <c r="B148" s="145">
        <v>13.18</v>
      </c>
      <c r="C148" s="153" t="s">
        <v>232</v>
      </c>
      <c r="D148" s="99" t="s">
        <v>293</v>
      </c>
      <c r="E148" s="99" t="s">
        <v>294</v>
      </c>
      <c r="F148" s="99" t="s">
        <v>295</v>
      </c>
      <c r="G148" s="99"/>
      <c r="H148" s="99"/>
      <c r="I148" s="99"/>
      <c r="J148" s="99"/>
      <c r="K148" s="99" t="s">
        <v>49</v>
      </c>
      <c r="L148" s="99" t="s">
        <v>43</v>
      </c>
      <c r="M148" s="153" t="s">
        <v>239</v>
      </c>
      <c r="N148" s="140">
        <v>3000000</v>
      </c>
      <c r="O148" s="146"/>
      <c r="P148" s="147"/>
      <c r="Q148" s="189"/>
    </row>
    <row r="149" spans="1:17" s="80" customFormat="1" ht="60" x14ac:dyDescent="0.2">
      <c r="A149" s="148">
        <v>17</v>
      </c>
      <c r="B149" s="145">
        <v>13.18</v>
      </c>
      <c r="C149" s="153" t="s">
        <v>779</v>
      </c>
      <c r="D149" s="99" t="s">
        <v>296</v>
      </c>
      <c r="E149" s="99" t="s">
        <v>297</v>
      </c>
      <c r="F149" s="99" t="s">
        <v>295</v>
      </c>
      <c r="G149" s="99"/>
      <c r="H149" s="99"/>
      <c r="I149" s="99"/>
      <c r="J149" s="99"/>
      <c r="K149" s="99" t="s">
        <v>49</v>
      </c>
      <c r="L149" s="99" t="s">
        <v>43</v>
      </c>
      <c r="M149" s="153" t="s">
        <v>210</v>
      </c>
      <c r="N149" s="140">
        <v>2500000</v>
      </c>
      <c r="O149" s="146"/>
      <c r="P149" s="147"/>
      <c r="Q149" s="189"/>
    </row>
    <row r="150" spans="1:17" s="80" customFormat="1" ht="45" x14ac:dyDescent="0.2">
      <c r="A150" s="148">
        <v>18</v>
      </c>
      <c r="B150" s="145">
        <v>13.18</v>
      </c>
      <c r="C150" s="153" t="s">
        <v>232</v>
      </c>
      <c r="D150" s="99" t="s">
        <v>298</v>
      </c>
      <c r="E150" s="99" t="s">
        <v>299</v>
      </c>
      <c r="F150" s="99" t="s">
        <v>295</v>
      </c>
      <c r="G150" s="99"/>
      <c r="H150" s="99"/>
      <c r="I150" s="99"/>
      <c r="J150" s="99"/>
      <c r="K150" s="99" t="s">
        <v>49</v>
      </c>
      <c r="L150" s="99" t="s">
        <v>43</v>
      </c>
      <c r="M150" s="153" t="s">
        <v>210</v>
      </c>
      <c r="N150" s="140">
        <v>2500000</v>
      </c>
      <c r="O150" s="146"/>
      <c r="P150" s="147"/>
      <c r="Q150" s="189"/>
    </row>
    <row r="151" spans="1:17" s="80" customFormat="1" ht="30" x14ac:dyDescent="0.2">
      <c r="A151" s="148">
        <v>19</v>
      </c>
      <c r="B151" s="145">
        <v>13.02</v>
      </c>
      <c r="C151" s="153" t="s">
        <v>300</v>
      </c>
      <c r="D151" s="99" t="s">
        <v>301</v>
      </c>
      <c r="E151" s="99" t="s">
        <v>302</v>
      </c>
      <c r="F151" s="99" t="s">
        <v>295</v>
      </c>
      <c r="G151" s="99"/>
      <c r="H151" s="99"/>
      <c r="I151" s="99"/>
      <c r="J151" s="99"/>
      <c r="K151" s="99" t="s">
        <v>49</v>
      </c>
      <c r="L151" s="99" t="s">
        <v>43</v>
      </c>
      <c r="M151" s="153" t="s">
        <v>303</v>
      </c>
      <c r="N151" s="140">
        <v>10000000</v>
      </c>
      <c r="O151" s="146"/>
      <c r="P151" s="147"/>
      <c r="Q151" s="189"/>
    </row>
    <row r="152" spans="1:17" s="80" customFormat="1" ht="45" x14ac:dyDescent="0.2">
      <c r="A152" s="148">
        <v>20</v>
      </c>
      <c r="B152" s="145">
        <v>13.18</v>
      </c>
      <c r="C152" s="153" t="s">
        <v>232</v>
      </c>
      <c r="D152" s="99" t="s">
        <v>308</v>
      </c>
      <c r="E152" s="99" t="s">
        <v>309</v>
      </c>
      <c r="F152" s="99" t="s">
        <v>295</v>
      </c>
      <c r="G152" s="99"/>
      <c r="H152" s="99"/>
      <c r="I152" s="99"/>
      <c r="J152" s="99"/>
      <c r="K152" s="99" t="s">
        <v>49</v>
      </c>
      <c r="L152" s="99" t="s">
        <v>43</v>
      </c>
      <c r="M152" s="153" t="s">
        <v>310</v>
      </c>
      <c r="N152" s="140">
        <v>3000000</v>
      </c>
      <c r="O152" s="146"/>
      <c r="P152" s="147"/>
      <c r="Q152" s="189"/>
    </row>
    <row r="153" spans="1:17" s="80" customFormat="1" ht="30" x14ac:dyDescent="0.2">
      <c r="A153" s="148">
        <v>21</v>
      </c>
      <c r="B153" s="145">
        <v>13.02</v>
      </c>
      <c r="C153" s="153" t="s">
        <v>300</v>
      </c>
      <c r="D153" s="99" t="s">
        <v>311</v>
      </c>
      <c r="E153" s="99" t="s">
        <v>312</v>
      </c>
      <c r="F153" s="99" t="s">
        <v>295</v>
      </c>
      <c r="G153" s="99"/>
      <c r="H153" s="99"/>
      <c r="I153" s="99"/>
      <c r="J153" s="99"/>
      <c r="K153" s="99" t="s">
        <v>49</v>
      </c>
      <c r="L153" s="99" t="s">
        <v>43</v>
      </c>
      <c r="M153" s="153" t="s">
        <v>313</v>
      </c>
      <c r="N153" s="140">
        <v>3000000</v>
      </c>
      <c r="O153" s="146"/>
      <c r="P153" s="147"/>
      <c r="Q153" s="189"/>
    </row>
    <row r="154" spans="1:17" s="18" customFormat="1" ht="30" x14ac:dyDescent="0.2">
      <c r="A154" s="148">
        <v>22</v>
      </c>
      <c r="B154" s="145">
        <v>13.19</v>
      </c>
      <c r="C154" s="153" t="s">
        <v>102</v>
      </c>
      <c r="D154" s="99" t="s">
        <v>220</v>
      </c>
      <c r="E154" s="99" t="s">
        <v>221</v>
      </c>
      <c r="F154" s="99" t="s">
        <v>222</v>
      </c>
      <c r="G154" s="99" t="s">
        <v>49</v>
      </c>
      <c r="H154" s="99" t="s">
        <v>49</v>
      </c>
      <c r="I154" s="99"/>
      <c r="J154" s="99" t="s">
        <v>49</v>
      </c>
      <c r="K154" s="99" t="s">
        <v>49</v>
      </c>
      <c r="L154" s="99" t="s">
        <v>43</v>
      </c>
      <c r="M154" s="153" t="s">
        <v>106</v>
      </c>
      <c r="N154" s="140">
        <v>3000000</v>
      </c>
      <c r="O154" s="146"/>
      <c r="P154" s="147"/>
      <c r="Q154" s="189"/>
    </row>
    <row r="155" spans="1:17" s="182" customFormat="1" ht="30" x14ac:dyDescent="0.2">
      <c r="A155" s="148">
        <v>23</v>
      </c>
      <c r="B155" s="176">
        <v>0.55486111111111114</v>
      </c>
      <c r="C155" s="153" t="s">
        <v>487</v>
      </c>
      <c r="D155" s="33" t="s">
        <v>488</v>
      </c>
      <c r="E155" s="33" t="s">
        <v>489</v>
      </c>
      <c r="F155" s="33" t="s">
        <v>490</v>
      </c>
      <c r="G155" s="177" t="s">
        <v>49</v>
      </c>
      <c r="H155" s="177" t="s">
        <v>49</v>
      </c>
      <c r="I155" s="177"/>
      <c r="J155" s="177" t="s">
        <v>49</v>
      </c>
      <c r="K155" s="177" t="s">
        <v>49</v>
      </c>
      <c r="L155" s="33" t="s">
        <v>148</v>
      </c>
      <c r="M155" s="153" t="s">
        <v>669</v>
      </c>
      <c r="N155" s="178">
        <v>2680000</v>
      </c>
      <c r="O155" s="179"/>
      <c r="P155" s="177"/>
      <c r="Q155" s="177"/>
    </row>
    <row r="156" spans="1:17" s="18" customFormat="1" ht="30" x14ac:dyDescent="0.2">
      <c r="A156" s="148">
        <v>24</v>
      </c>
      <c r="B156" s="145">
        <v>26.15</v>
      </c>
      <c r="C156" s="153" t="s">
        <v>253</v>
      </c>
      <c r="D156" s="99" t="s">
        <v>254</v>
      </c>
      <c r="E156" s="99" t="s">
        <v>255</v>
      </c>
      <c r="F156" s="99" t="s">
        <v>256</v>
      </c>
      <c r="G156" s="99"/>
      <c r="H156" s="99"/>
      <c r="I156" s="99" t="s">
        <v>49</v>
      </c>
      <c r="J156" s="99" t="s">
        <v>49</v>
      </c>
      <c r="K156" s="99"/>
      <c r="L156" s="99" t="s">
        <v>43</v>
      </c>
      <c r="M156" s="153" t="s">
        <v>257</v>
      </c>
      <c r="N156" s="140">
        <f>15*680000</f>
        <v>10200000</v>
      </c>
      <c r="O156" s="146"/>
      <c r="P156" s="147"/>
      <c r="Q156" s="189"/>
    </row>
    <row r="157" spans="1:17" s="18" customFormat="1" ht="30" x14ac:dyDescent="0.2">
      <c r="A157" s="148">
        <v>25</v>
      </c>
      <c r="B157" s="145">
        <v>26.16</v>
      </c>
      <c r="C157" s="153" t="s">
        <v>258</v>
      </c>
      <c r="D157" s="99" t="s">
        <v>259</v>
      </c>
      <c r="E157" s="99" t="s">
        <v>255</v>
      </c>
      <c r="F157" s="99" t="s">
        <v>256</v>
      </c>
      <c r="G157" s="99"/>
      <c r="H157" s="99"/>
      <c r="I157" s="99" t="s">
        <v>49</v>
      </c>
      <c r="J157" s="99" t="s">
        <v>49</v>
      </c>
      <c r="K157" s="99"/>
      <c r="L157" s="99" t="s">
        <v>43</v>
      </c>
      <c r="M157" s="153" t="s">
        <v>260</v>
      </c>
      <c r="N157" s="140">
        <f>25*300000</f>
        <v>7500000</v>
      </c>
      <c r="O157" s="146"/>
      <c r="P157" s="147"/>
      <c r="Q157" s="189"/>
    </row>
    <row r="158" spans="1:17" s="18" customFormat="1" ht="60" x14ac:dyDescent="0.2">
      <c r="A158" s="148">
        <v>26</v>
      </c>
      <c r="B158" s="145">
        <v>26.09</v>
      </c>
      <c r="C158" s="153" t="s">
        <v>134</v>
      </c>
      <c r="D158" s="116" t="s">
        <v>282</v>
      </c>
      <c r="E158" s="99" t="s">
        <v>283</v>
      </c>
      <c r="F158" s="99" t="s">
        <v>284</v>
      </c>
      <c r="G158" s="99"/>
      <c r="H158" s="99"/>
      <c r="I158" s="99"/>
      <c r="J158" s="99" t="s">
        <v>49</v>
      </c>
      <c r="K158" s="99"/>
      <c r="L158" s="99" t="s">
        <v>43</v>
      </c>
      <c r="M158" s="153" t="s">
        <v>285</v>
      </c>
      <c r="N158" s="140">
        <v>14000000</v>
      </c>
      <c r="O158" s="146"/>
      <c r="P158" s="147"/>
      <c r="Q158" s="189"/>
    </row>
    <row r="159" spans="1:17" s="18" customFormat="1" ht="60" x14ac:dyDescent="0.2">
      <c r="A159" s="148">
        <v>27</v>
      </c>
      <c r="B159" s="145">
        <v>26.09</v>
      </c>
      <c r="C159" s="153" t="s">
        <v>134</v>
      </c>
      <c r="D159" s="99" t="s">
        <v>286</v>
      </c>
      <c r="E159" s="99" t="s">
        <v>287</v>
      </c>
      <c r="F159" s="99" t="s">
        <v>152</v>
      </c>
      <c r="G159" s="99"/>
      <c r="H159" s="99"/>
      <c r="I159" s="99"/>
      <c r="J159" s="99" t="s">
        <v>49</v>
      </c>
      <c r="K159" s="99"/>
      <c r="L159" s="99" t="s">
        <v>43</v>
      </c>
      <c r="M159" s="153" t="s">
        <v>288</v>
      </c>
      <c r="N159" s="140">
        <v>9000000</v>
      </c>
      <c r="O159" s="146"/>
      <c r="P159" s="147"/>
      <c r="Q159" s="189"/>
    </row>
    <row r="160" spans="1:17" s="18" customFormat="1" ht="30" x14ac:dyDescent="0.2">
      <c r="A160" s="148">
        <v>28</v>
      </c>
      <c r="B160" s="145">
        <v>26.15</v>
      </c>
      <c r="C160" s="153" t="s">
        <v>253</v>
      </c>
      <c r="D160" s="99" t="s">
        <v>289</v>
      </c>
      <c r="E160" s="99" t="s">
        <v>290</v>
      </c>
      <c r="F160" s="99" t="s">
        <v>291</v>
      </c>
      <c r="G160" s="99"/>
      <c r="H160" s="99"/>
      <c r="I160" s="99"/>
      <c r="J160" s="99"/>
      <c r="K160" s="99" t="s">
        <v>49</v>
      </c>
      <c r="L160" s="99" t="s">
        <v>43</v>
      </c>
      <c r="M160" s="153" t="s">
        <v>292</v>
      </c>
      <c r="N160" s="140">
        <v>680000</v>
      </c>
      <c r="O160" s="146"/>
      <c r="P160" s="147"/>
      <c r="Q160" s="189"/>
    </row>
    <row r="161" spans="1:17" s="182" customFormat="1" ht="60" x14ac:dyDescent="0.2">
      <c r="A161" s="148">
        <v>29</v>
      </c>
      <c r="B161" s="1">
        <v>26.06</v>
      </c>
      <c r="C161" s="172" t="s">
        <v>319</v>
      </c>
      <c r="D161" s="159" t="s">
        <v>320</v>
      </c>
      <c r="E161" s="159" t="s">
        <v>321</v>
      </c>
      <c r="F161" s="159" t="s">
        <v>322</v>
      </c>
      <c r="G161" s="159" t="s">
        <v>49</v>
      </c>
      <c r="H161" s="159" t="s">
        <v>49</v>
      </c>
      <c r="I161" s="159" t="s">
        <v>49</v>
      </c>
      <c r="J161" s="159" t="s">
        <v>49</v>
      </c>
      <c r="K161" s="159"/>
      <c r="L161" s="159" t="s">
        <v>323</v>
      </c>
      <c r="M161" s="160" t="s">
        <v>646</v>
      </c>
      <c r="N161" s="227">
        <f>3*3500000</f>
        <v>10500000</v>
      </c>
      <c r="O161" s="228"/>
      <c r="P161" s="229"/>
      <c r="Q161" s="159"/>
    </row>
    <row r="162" spans="1:17" s="182" customFormat="1" ht="60" x14ac:dyDescent="0.2">
      <c r="A162" s="148">
        <v>30</v>
      </c>
      <c r="B162" s="223">
        <v>26.13</v>
      </c>
      <c r="C162" s="172" t="s">
        <v>324</v>
      </c>
      <c r="D162" s="159" t="s">
        <v>325</v>
      </c>
      <c r="E162" s="159" t="s">
        <v>326</v>
      </c>
      <c r="F162" s="159" t="s">
        <v>317</v>
      </c>
      <c r="G162" s="159" t="s">
        <v>49</v>
      </c>
      <c r="H162" s="159" t="s">
        <v>49</v>
      </c>
      <c r="I162" s="159" t="s">
        <v>49</v>
      </c>
      <c r="J162" s="159" t="s">
        <v>49</v>
      </c>
      <c r="K162" s="159" t="s">
        <v>49</v>
      </c>
      <c r="L162" s="159" t="s">
        <v>327</v>
      </c>
      <c r="M162" s="160" t="s">
        <v>328</v>
      </c>
      <c r="N162" s="227">
        <f>18*250000</f>
        <v>4500000</v>
      </c>
      <c r="O162" s="230"/>
      <c r="P162" s="229"/>
      <c r="Q162" s="159"/>
    </row>
    <row r="163" spans="1:17" s="182" customFormat="1" ht="60" x14ac:dyDescent="0.2">
      <c r="A163" s="148">
        <v>31</v>
      </c>
      <c r="B163" s="3">
        <v>26.08</v>
      </c>
      <c r="C163" s="172" t="s">
        <v>333</v>
      </c>
      <c r="D163" s="159" t="s">
        <v>334</v>
      </c>
      <c r="E163" s="159" t="s">
        <v>335</v>
      </c>
      <c r="F163" s="159" t="s">
        <v>336</v>
      </c>
      <c r="G163" s="159" t="s">
        <v>49</v>
      </c>
      <c r="H163" s="159" t="s">
        <v>49</v>
      </c>
      <c r="I163" s="159" t="s">
        <v>49</v>
      </c>
      <c r="J163" s="159" t="s">
        <v>49</v>
      </c>
      <c r="K163" s="159" t="s">
        <v>49</v>
      </c>
      <c r="L163" s="159" t="s">
        <v>337</v>
      </c>
      <c r="M163" s="160" t="s">
        <v>642</v>
      </c>
      <c r="N163" s="227">
        <v>3775000</v>
      </c>
      <c r="O163" s="230"/>
      <c r="P163" s="229"/>
      <c r="Q163" s="159"/>
    </row>
    <row r="164" spans="1:17" s="182" customFormat="1" ht="63.75" customHeight="1" x14ac:dyDescent="0.2">
      <c r="A164" s="148">
        <v>32</v>
      </c>
      <c r="B164" s="3">
        <v>26.05</v>
      </c>
      <c r="C164" s="160" t="s">
        <v>338</v>
      </c>
      <c r="D164" s="159" t="s">
        <v>339</v>
      </c>
      <c r="E164" s="159" t="s">
        <v>340</v>
      </c>
      <c r="F164" s="159" t="s">
        <v>341</v>
      </c>
      <c r="G164" s="159" t="s">
        <v>49</v>
      </c>
      <c r="H164" s="159" t="s">
        <v>49</v>
      </c>
      <c r="I164" s="159" t="s">
        <v>49</v>
      </c>
      <c r="J164" s="159" t="s">
        <v>49</v>
      </c>
      <c r="K164" s="159" t="s">
        <v>49</v>
      </c>
      <c r="L164" s="159" t="s">
        <v>342</v>
      </c>
      <c r="M164" s="160" t="s">
        <v>647</v>
      </c>
      <c r="N164" s="227">
        <v>7000000</v>
      </c>
      <c r="O164" s="228"/>
      <c r="P164" s="229"/>
      <c r="Q164" s="159"/>
    </row>
    <row r="165" spans="1:17" s="80" customFormat="1" ht="30" x14ac:dyDescent="0.2">
      <c r="A165" s="148">
        <v>33</v>
      </c>
      <c r="B165" s="231">
        <v>26.06</v>
      </c>
      <c r="C165" s="158" t="s">
        <v>398</v>
      </c>
      <c r="D165" s="165" t="s">
        <v>399</v>
      </c>
      <c r="E165" s="165" t="s">
        <v>400</v>
      </c>
      <c r="F165" s="165" t="s">
        <v>388</v>
      </c>
      <c r="G165" s="165"/>
      <c r="H165" s="165"/>
      <c r="I165" s="165"/>
      <c r="J165" s="165"/>
      <c r="K165" s="165"/>
      <c r="L165" s="165" t="s">
        <v>389</v>
      </c>
      <c r="M165" s="166" t="s">
        <v>401</v>
      </c>
      <c r="N165" s="167">
        <f>2*3500000</f>
        <v>7000000</v>
      </c>
      <c r="O165" s="232"/>
      <c r="P165" s="233"/>
      <c r="Q165" s="165"/>
    </row>
    <row r="166" spans="1:17" s="80" customFormat="1" ht="60" x14ac:dyDescent="0.2">
      <c r="A166" s="148">
        <v>34</v>
      </c>
      <c r="B166" s="231">
        <v>26.13</v>
      </c>
      <c r="C166" s="172" t="s">
        <v>324</v>
      </c>
      <c r="D166" s="165" t="s">
        <v>402</v>
      </c>
      <c r="E166" s="165" t="s">
        <v>403</v>
      </c>
      <c r="F166" s="165" t="s">
        <v>404</v>
      </c>
      <c r="G166" s="165"/>
      <c r="H166" s="165"/>
      <c r="I166" s="165"/>
      <c r="J166" s="165"/>
      <c r="K166" s="165"/>
      <c r="L166" s="165" t="s">
        <v>389</v>
      </c>
      <c r="M166" s="166" t="s">
        <v>405</v>
      </c>
      <c r="N166" s="167">
        <f>90*250000</f>
        <v>22500000</v>
      </c>
      <c r="O166" s="232"/>
      <c r="P166" s="233"/>
      <c r="Q166" s="165"/>
    </row>
    <row r="167" spans="1:17" s="182" customFormat="1" ht="72" customHeight="1" x14ac:dyDescent="0.2">
      <c r="A167" s="148">
        <v>35</v>
      </c>
      <c r="B167" s="3">
        <v>26.14</v>
      </c>
      <c r="C167" s="158" t="s">
        <v>391</v>
      </c>
      <c r="D167" s="159" t="s">
        <v>392</v>
      </c>
      <c r="E167" s="159" t="s">
        <v>393</v>
      </c>
      <c r="F167" s="159" t="s">
        <v>388</v>
      </c>
      <c r="G167" s="159" t="s">
        <v>49</v>
      </c>
      <c r="H167" s="159" t="s">
        <v>49</v>
      </c>
      <c r="I167" s="159" t="s">
        <v>49</v>
      </c>
      <c r="J167" s="159" t="s">
        <v>49</v>
      </c>
      <c r="K167" s="159" t="s">
        <v>49</v>
      </c>
      <c r="L167" s="159" t="s">
        <v>645</v>
      </c>
      <c r="M167" s="160" t="s">
        <v>394</v>
      </c>
      <c r="N167" s="161">
        <v>4500000</v>
      </c>
      <c r="O167" s="228"/>
      <c r="P167" s="226"/>
      <c r="Q167" s="159"/>
    </row>
    <row r="168" spans="1:17" s="182" customFormat="1" ht="90" x14ac:dyDescent="0.2">
      <c r="A168" s="148">
        <v>36</v>
      </c>
      <c r="B168" s="3">
        <v>26.03</v>
      </c>
      <c r="C168" s="172" t="s">
        <v>420</v>
      </c>
      <c r="D168" s="159" t="s">
        <v>421</v>
      </c>
      <c r="E168" s="159" t="s">
        <v>422</v>
      </c>
      <c r="F168" s="159" t="s">
        <v>412</v>
      </c>
      <c r="G168" s="159"/>
      <c r="H168" s="159"/>
      <c r="I168" s="159"/>
      <c r="J168" s="159"/>
      <c r="K168" s="159"/>
      <c r="L168" s="159" t="s">
        <v>138</v>
      </c>
      <c r="M168" s="160" t="s">
        <v>653</v>
      </c>
      <c r="N168" s="161">
        <v>3750000</v>
      </c>
      <c r="O168" s="209"/>
      <c r="P168" s="215"/>
      <c r="Q168" s="159"/>
    </row>
    <row r="169" spans="1:17" s="182" customFormat="1" ht="90" x14ac:dyDescent="0.2">
      <c r="A169" s="148">
        <v>37</v>
      </c>
      <c r="B169" s="4">
        <v>26.03</v>
      </c>
      <c r="C169" s="153" t="s">
        <v>420</v>
      </c>
      <c r="D169" s="33" t="s">
        <v>421</v>
      </c>
      <c r="E169" s="33" t="s">
        <v>422</v>
      </c>
      <c r="F169" s="33" t="s">
        <v>491</v>
      </c>
      <c r="G169" s="33"/>
      <c r="H169" s="33"/>
      <c r="I169" s="33"/>
      <c r="J169" s="33"/>
      <c r="K169" s="33"/>
      <c r="L169" s="33" t="s">
        <v>492</v>
      </c>
      <c r="M169" s="160" t="s">
        <v>653</v>
      </c>
      <c r="N169" s="7">
        <v>3750000</v>
      </c>
      <c r="O169" s="234"/>
      <c r="P169" s="235"/>
      <c r="Q169" s="33"/>
    </row>
    <row r="170" spans="1:17" s="182" customFormat="1" ht="60" x14ac:dyDescent="0.2">
      <c r="A170" s="148">
        <v>38</v>
      </c>
      <c r="B170" s="2">
        <v>26.13</v>
      </c>
      <c r="C170" s="158" t="s">
        <v>434</v>
      </c>
      <c r="D170" s="159" t="s">
        <v>435</v>
      </c>
      <c r="E170" s="159" t="s">
        <v>436</v>
      </c>
      <c r="F170" s="159" t="s">
        <v>412</v>
      </c>
      <c r="G170" s="159" t="s">
        <v>49</v>
      </c>
      <c r="H170" s="159" t="s">
        <v>49</v>
      </c>
      <c r="I170" s="159" t="s">
        <v>49</v>
      </c>
      <c r="J170" s="159" t="s">
        <v>49</v>
      </c>
      <c r="K170" s="159" t="s">
        <v>49</v>
      </c>
      <c r="L170" s="159" t="s">
        <v>418</v>
      </c>
      <c r="M170" s="160" t="s">
        <v>437</v>
      </c>
      <c r="N170" s="161">
        <f>75*250000</f>
        <v>18750000</v>
      </c>
      <c r="O170" s="209"/>
      <c r="P170" s="215"/>
      <c r="Q170" s="159"/>
    </row>
    <row r="171" spans="1:17" s="182" customFormat="1" ht="126.75" customHeight="1" x14ac:dyDescent="0.2">
      <c r="A171" s="148">
        <v>39</v>
      </c>
      <c r="B171" s="137">
        <v>26.21</v>
      </c>
      <c r="C171" s="153" t="s">
        <v>438</v>
      </c>
      <c r="D171" s="33" t="s">
        <v>439</v>
      </c>
      <c r="E171" s="236" t="s">
        <v>440</v>
      </c>
      <c r="F171" s="159" t="s">
        <v>412</v>
      </c>
      <c r="G171" s="159" t="s">
        <v>49</v>
      </c>
      <c r="H171" s="159"/>
      <c r="I171" s="159"/>
      <c r="J171" s="159" t="s">
        <v>49</v>
      </c>
      <c r="K171" s="159"/>
      <c r="L171" s="159" t="s">
        <v>138</v>
      </c>
      <c r="M171" s="237" t="s">
        <v>670</v>
      </c>
      <c r="N171" s="238">
        <v>5000000</v>
      </c>
      <c r="O171" s="209"/>
      <c r="P171" s="239"/>
      <c r="Q171" s="159"/>
    </row>
    <row r="172" spans="1:17" s="182" customFormat="1" ht="57" customHeight="1" x14ac:dyDescent="0.2">
      <c r="A172" s="148">
        <v>40</v>
      </c>
      <c r="B172" s="240">
        <v>26.14</v>
      </c>
      <c r="C172" s="241" t="s">
        <v>441</v>
      </c>
      <c r="D172" s="242" t="s">
        <v>655</v>
      </c>
      <c r="E172" s="159" t="s">
        <v>442</v>
      </c>
      <c r="F172" s="159" t="s">
        <v>412</v>
      </c>
      <c r="G172" s="159" t="s">
        <v>49</v>
      </c>
      <c r="H172" s="159" t="s">
        <v>49</v>
      </c>
      <c r="I172" s="159" t="s">
        <v>49</v>
      </c>
      <c r="J172" s="159" t="s">
        <v>49</v>
      </c>
      <c r="K172" s="159" t="s">
        <v>49</v>
      </c>
      <c r="L172" s="159" t="s">
        <v>654</v>
      </c>
      <c r="M172" s="160" t="s">
        <v>419</v>
      </c>
      <c r="N172" s="161">
        <v>1500000</v>
      </c>
      <c r="O172" s="209"/>
      <c r="P172" s="239"/>
      <c r="Q172" s="159"/>
    </row>
    <row r="173" spans="1:17" s="182" customFormat="1" ht="45" x14ac:dyDescent="0.2">
      <c r="A173" s="148">
        <v>41</v>
      </c>
      <c r="B173" s="3">
        <v>26.19</v>
      </c>
      <c r="C173" s="160" t="s">
        <v>443</v>
      </c>
      <c r="D173" s="159" t="s">
        <v>444</v>
      </c>
      <c r="E173" s="159" t="s">
        <v>445</v>
      </c>
      <c r="F173" s="159" t="s">
        <v>446</v>
      </c>
      <c r="G173" s="159"/>
      <c r="H173" s="159"/>
      <c r="I173" s="159" t="s">
        <v>49</v>
      </c>
      <c r="J173" s="159"/>
      <c r="K173" s="159"/>
      <c r="L173" s="159" t="s">
        <v>138</v>
      </c>
      <c r="M173" s="160" t="s">
        <v>447</v>
      </c>
      <c r="N173" s="161">
        <v>160000</v>
      </c>
      <c r="O173" s="243"/>
      <c r="P173" s="239"/>
      <c r="Q173" s="159"/>
    </row>
    <row r="174" spans="1:17" s="182" customFormat="1" ht="94.5" customHeight="1" x14ac:dyDescent="0.2">
      <c r="A174" s="148">
        <v>42</v>
      </c>
      <c r="B174" s="244">
        <v>26.13</v>
      </c>
      <c r="C174" s="158" t="s">
        <v>448</v>
      </c>
      <c r="D174" s="159" t="s">
        <v>449</v>
      </c>
      <c r="E174" s="159" t="s">
        <v>450</v>
      </c>
      <c r="F174" s="159" t="s">
        <v>451</v>
      </c>
      <c r="G174" s="159" t="s">
        <v>49</v>
      </c>
      <c r="H174" s="159" t="s">
        <v>49</v>
      </c>
      <c r="I174" s="159" t="s">
        <v>49</v>
      </c>
      <c r="J174" s="159" t="s">
        <v>49</v>
      </c>
      <c r="K174" s="159" t="s">
        <v>49</v>
      </c>
      <c r="L174" s="245" t="s">
        <v>452</v>
      </c>
      <c r="M174" s="158" t="s">
        <v>671</v>
      </c>
      <c r="N174" s="238">
        <f>350*250000</f>
        <v>87500000</v>
      </c>
      <c r="O174" s="209"/>
      <c r="P174" s="246"/>
      <c r="Q174" s="159"/>
    </row>
    <row r="175" spans="1:17" s="80" customFormat="1" ht="30" x14ac:dyDescent="0.25">
      <c r="A175" s="148">
        <v>43</v>
      </c>
      <c r="B175" s="247">
        <v>26.06</v>
      </c>
      <c r="C175" s="166" t="s">
        <v>319</v>
      </c>
      <c r="D175" s="165" t="s">
        <v>453</v>
      </c>
      <c r="E175" s="165"/>
      <c r="F175" s="165"/>
      <c r="G175" s="165"/>
      <c r="H175" s="165"/>
      <c r="I175" s="165"/>
      <c r="J175" s="165"/>
      <c r="K175" s="165"/>
      <c r="L175" s="248" t="s">
        <v>454</v>
      </c>
      <c r="M175" s="249" t="s">
        <v>455</v>
      </c>
      <c r="N175" s="167">
        <v>10500000</v>
      </c>
      <c r="O175" s="232"/>
      <c r="P175" s="233"/>
      <c r="Q175" s="165"/>
    </row>
    <row r="176" spans="1:17" s="182" customFormat="1" ht="45" x14ac:dyDescent="0.2">
      <c r="A176" s="148">
        <v>44</v>
      </c>
      <c r="B176" s="3">
        <v>26.14</v>
      </c>
      <c r="C176" s="160" t="s">
        <v>441</v>
      </c>
      <c r="D176" s="159" t="s">
        <v>460</v>
      </c>
      <c r="E176" s="159" t="s">
        <v>461</v>
      </c>
      <c r="F176" s="159" t="s">
        <v>462</v>
      </c>
      <c r="G176" s="159" t="s">
        <v>49</v>
      </c>
      <c r="H176" s="159" t="s">
        <v>49</v>
      </c>
      <c r="I176" s="159" t="s">
        <v>49</v>
      </c>
      <c r="J176" s="159" t="s">
        <v>49</v>
      </c>
      <c r="K176" s="159" t="s">
        <v>49</v>
      </c>
      <c r="L176" s="245" t="s">
        <v>463</v>
      </c>
      <c r="M176" s="158" t="s">
        <v>666</v>
      </c>
      <c r="N176" s="161">
        <v>4500000</v>
      </c>
      <c r="O176" s="209" t="s">
        <v>464</v>
      </c>
      <c r="P176" s="226"/>
      <c r="Q176" s="159"/>
    </row>
    <row r="177" spans="1:17" s="182" customFormat="1" ht="60" x14ac:dyDescent="0.2">
      <c r="A177" s="148">
        <v>45</v>
      </c>
      <c r="B177" s="5" t="s">
        <v>493</v>
      </c>
      <c r="C177" s="153" t="s">
        <v>324</v>
      </c>
      <c r="D177" s="99" t="s">
        <v>494</v>
      </c>
      <c r="E177" s="33" t="s">
        <v>495</v>
      </c>
      <c r="F177" s="33" t="s">
        <v>496</v>
      </c>
      <c r="G177" s="177" t="s">
        <v>49</v>
      </c>
      <c r="H177" s="177" t="s">
        <v>49</v>
      </c>
      <c r="I177" s="177" t="s">
        <v>49</v>
      </c>
      <c r="J177" s="177" t="s">
        <v>49</v>
      </c>
      <c r="K177" s="177" t="s">
        <v>49</v>
      </c>
      <c r="L177" s="33" t="s">
        <v>497</v>
      </c>
      <c r="M177" s="153" t="s">
        <v>498</v>
      </c>
      <c r="N177" s="178">
        <f>50*4*250000</f>
        <v>50000000</v>
      </c>
      <c r="O177" s="179"/>
      <c r="P177" s="177"/>
      <c r="Q177" s="177"/>
    </row>
    <row r="178" spans="1:17" s="182" customFormat="1" ht="45" x14ac:dyDescent="0.2">
      <c r="A178" s="148">
        <v>46</v>
      </c>
      <c r="B178" s="176" t="s">
        <v>499</v>
      </c>
      <c r="C178" s="153" t="s">
        <v>500</v>
      </c>
      <c r="D178" s="99" t="s">
        <v>501</v>
      </c>
      <c r="E178" s="33" t="s">
        <v>502</v>
      </c>
      <c r="F178" s="33" t="s">
        <v>152</v>
      </c>
      <c r="G178" s="177" t="s">
        <v>49</v>
      </c>
      <c r="H178" s="177" t="s">
        <v>49</v>
      </c>
      <c r="I178" s="177" t="s">
        <v>49</v>
      </c>
      <c r="J178" s="177" t="s">
        <v>49</v>
      </c>
      <c r="K178" s="177" t="s">
        <v>49</v>
      </c>
      <c r="L178" s="33" t="s">
        <v>503</v>
      </c>
      <c r="M178" s="153" t="s">
        <v>504</v>
      </c>
      <c r="N178" s="178">
        <f>300*13200</f>
        <v>3960000</v>
      </c>
      <c r="O178" s="179"/>
      <c r="P178" s="177"/>
      <c r="Q178" s="177"/>
    </row>
    <row r="179" spans="1:17" s="182" customFormat="1" ht="75" x14ac:dyDescent="0.2">
      <c r="A179" s="148">
        <v>47</v>
      </c>
      <c r="B179" s="176" t="s">
        <v>515</v>
      </c>
      <c r="C179" s="153" t="s">
        <v>53</v>
      </c>
      <c r="D179" s="99" t="s">
        <v>673</v>
      </c>
      <c r="E179" s="33" t="s">
        <v>516</v>
      </c>
      <c r="F179" s="33" t="s">
        <v>152</v>
      </c>
      <c r="G179" s="177" t="s">
        <v>49</v>
      </c>
      <c r="H179" s="177" t="s">
        <v>49</v>
      </c>
      <c r="I179" s="250"/>
      <c r="J179" s="177" t="s">
        <v>49</v>
      </c>
      <c r="K179" s="177" t="s">
        <v>49</v>
      </c>
      <c r="L179" s="33" t="s">
        <v>153</v>
      </c>
      <c r="M179" s="153" t="s">
        <v>669</v>
      </c>
      <c r="N179" s="251">
        <v>3730000</v>
      </c>
      <c r="O179" s="252"/>
      <c r="P179" s="250"/>
      <c r="Q179" s="253"/>
    </row>
    <row r="180" spans="1:17" s="182" customFormat="1" ht="30" x14ac:dyDescent="0.2">
      <c r="A180" s="148">
        <v>48</v>
      </c>
      <c r="B180" s="183" t="s">
        <v>517</v>
      </c>
      <c r="C180" s="172" t="s">
        <v>518</v>
      </c>
      <c r="D180" s="184" t="s">
        <v>453</v>
      </c>
      <c r="E180" s="33" t="s">
        <v>519</v>
      </c>
      <c r="F180" s="33" t="s">
        <v>152</v>
      </c>
      <c r="G180" s="177" t="s">
        <v>49</v>
      </c>
      <c r="H180" s="177" t="s">
        <v>49</v>
      </c>
      <c r="I180" s="177" t="s">
        <v>49</v>
      </c>
      <c r="J180" s="177" t="s">
        <v>49</v>
      </c>
      <c r="K180" s="177" t="s">
        <v>49</v>
      </c>
      <c r="L180" s="33" t="s">
        <v>520</v>
      </c>
      <c r="M180" s="172" t="s">
        <v>672</v>
      </c>
      <c r="N180" s="178">
        <f>4*3500000</f>
        <v>14000000</v>
      </c>
      <c r="O180" s="179"/>
      <c r="P180" s="180"/>
      <c r="Q180" s="253"/>
    </row>
    <row r="181" spans="1:17" s="80" customFormat="1" ht="75" x14ac:dyDescent="0.2">
      <c r="A181" s="148">
        <v>49</v>
      </c>
      <c r="B181" s="254" t="s">
        <v>531</v>
      </c>
      <c r="C181" s="255" t="s">
        <v>532</v>
      </c>
      <c r="D181" s="256" t="s">
        <v>533</v>
      </c>
      <c r="E181" s="137" t="s">
        <v>534</v>
      </c>
      <c r="F181" s="137" t="s">
        <v>676</v>
      </c>
      <c r="G181" s="137" t="s">
        <v>49</v>
      </c>
      <c r="H181" s="137" t="s">
        <v>49</v>
      </c>
      <c r="I181" s="137" t="s">
        <v>49</v>
      </c>
      <c r="J181" s="137" t="s">
        <v>49</v>
      </c>
      <c r="K181" s="137" t="s">
        <v>49</v>
      </c>
      <c r="L181" s="137" t="s">
        <v>526</v>
      </c>
      <c r="M181" s="257" t="s">
        <v>675</v>
      </c>
      <c r="N181" s="140">
        <f>(500000+((9000+20000)*15))*4</f>
        <v>3740000</v>
      </c>
      <c r="O181" s="146"/>
      <c r="P181" s="157"/>
      <c r="Q181" s="143"/>
    </row>
    <row r="182" spans="1:17" s="1" customFormat="1" ht="60" x14ac:dyDescent="0.2">
      <c r="A182" s="148">
        <v>50</v>
      </c>
      <c r="B182" s="254">
        <v>26.13</v>
      </c>
      <c r="C182" s="172" t="s">
        <v>324</v>
      </c>
      <c r="D182" s="4" t="s">
        <v>548</v>
      </c>
      <c r="E182" s="4" t="s">
        <v>549</v>
      </c>
      <c r="F182" s="4" t="s">
        <v>550</v>
      </c>
      <c r="G182" s="4"/>
      <c r="H182" s="258"/>
      <c r="I182" s="258"/>
      <c r="J182" s="258"/>
      <c r="K182" s="258"/>
      <c r="L182" s="4" t="s">
        <v>551</v>
      </c>
      <c r="M182" s="259" t="s">
        <v>552</v>
      </c>
      <c r="N182" s="7">
        <f>50*250000</f>
        <v>12500000</v>
      </c>
      <c r="O182" s="179"/>
      <c r="P182" s="157"/>
      <c r="Q182" s="143"/>
    </row>
    <row r="183" spans="1:17" s="1" customFormat="1" ht="45" x14ac:dyDescent="0.2">
      <c r="A183" s="148">
        <v>51</v>
      </c>
      <c r="B183" s="260">
        <v>8.819444444444445E-2</v>
      </c>
      <c r="C183" s="172" t="s">
        <v>367</v>
      </c>
      <c r="D183" s="4" t="s">
        <v>553</v>
      </c>
      <c r="E183" s="4" t="s">
        <v>554</v>
      </c>
      <c r="F183" s="4" t="s">
        <v>550</v>
      </c>
      <c r="G183" s="4"/>
      <c r="H183" s="258"/>
      <c r="I183" s="258"/>
      <c r="J183" s="258"/>
      <c r="K183" s="258"/>
      <c r="L183" s="4" t="s">
        <v>555</v>
      </c>
      <c r="M183" s="259" t="s">
        <v>419</v>
      </c>
      <c r="N183" s="179">
        <v>4870000</v>
      </c>
      <c r="P183" s="157"/>
      <c r="Q183" s="143"/>
    </row>
    <row r="184" spans="1:17" s="1" customFormat="1" ht="30" x14ac:dyDescent="0.2">
      <c r="A184" s="148">
        <v>52</v>
      </c>
      <c r="B184" s="254">
        <v>26.12</v>
      </c>
      <c r="C184" s="255" t="s">
        <v>556</v>
      </c>
      <c r="D184" s="4" t="s">
        <v>557</v>
      </c>
      <c r="E184" s="4" t="s">
        <v>558</v>
      </c>
      <c r="F184" s="4" t="s">
        <v>550</v>
      </c>
      <c r="G184" s="4"/>
      <c r="H184" s="258"/>
      <c r="I184" s="258"/>
      <c r="J184" s="258"/>
      <c r="K184" s="258"/>
      <c r="L184" s="4" t="s">
        <v>551</v>
      </c>
      <c r="M184" s="259" t="s">
        <v>559</v>
      </c>
      <c r="N184" s="7">
        <f>12*1100000</f>
        <v>13200000</v>
      </c>
      <c r="O184" s="179"/>
      <c r="P184" s="157"/>
      <c r="Q184" s="143"/>
    </row>
    <row r="185" spans="1:17" s="18" customFormat="1" ht="30" x14ac:dyDescent="0.2">
      <c r="A185" s="148">
        <v>53</v>
      </c>
      <c r="B185" s="8">
        <v>26.06</v>
      </c>
      <c r="C185" s="9" t="s">
        <v>560</v>
      </c>
      <c r="D185" s="4" t="s">
        <v>561</v>
      </c>
      <c r="E185" s="4" t="s">
        <v>678</v>
      </c>
      <c r="F185" s="12" t="s">
        <v>562</v>
      </c>
      <c r="G185" s="13" t="s">
        <v>563</v>
      </c>
      <c r="H185" s="13" t="s">
        <v>563</v>
      </c>
      <c r="I185" s="13" t="s">
        <v>563</v>
      </c>
      <c r="J185" s="13" t="s">
        <v>563</v>
      </c>
      <c r="K185" s="13" t="s">
        <v>563</v>
      </c>
      <c r="L185" s="13" t="s">
        <v>564</v>
      </c>
      <c r="M185" s="13" t="s">
        <v>679</v>
      </c>
      <c r="N185" s="14">
        <f>3500000*6</f>
        <v>21000000</v>
      </c>
      <c r="O185" s="15"/>
      <c r="P185" s="16"/>
      <c r="Q185" s="143"/>
    </row>
    <row r="186" spans="1:17" s="41" customFormat="1" ht="45" x14ac:dyDescent="0.2">
      <c r="A186" s="148">
        <v>54</v>
      </c>
      <c r="B186" s="20">
        <v>26.13</v>
      </c>
      <c r="C186" s="172" t="s">
        <v>603</v>
      </c>
      <c r="D186" s="20" t="s">
        <v>604</v>
      </c>
      <c r="E186" s="20" t="s">
        <v>605</v>
      </c>
      <c r="F186" s="39" t="s">
        <v>590</v>
      </c>
      <c r="G186" s="20" t="s">
        <v>49</v>
      </c>
      <c r="H186" s="20" t="s">
        <v>49</v>
      </c>
      <c r="I186" s="20" t="s">
        <v>49</v>
      </c>
      <c r="J186" s="20" t="s">
        <v>49</v>
      </c>
      <c r="K186" s="20" t="s">
        <v>49</v>
      </c>
      <c r="L186" s="20" t="s">
        <v>606</v>
      </c>
      <c r="M186" s="40">
        <f>200*2.5</f>
        <v>500</v>
      </c>
      <c r="N186" s="14">
        <f>90000*500</f>
        <v>45000000</v>
      </c>
      <c r="O186" s="15"/>
      <c r="P186" s="30"/>
      <c r="Q186" s="31"/>
    </row>
    <row r="187" spans="1:17" s="80" customFormat="1" ht="60" x14ac:dyDescent="0.2">
      <c r="A187" s="148">
        <v>55</v>
      </c>
      <c r="B187" s="145">
        <v>20.010000000000002</v>
      </c>
      <c r="C187" s="153" t="s">
        <v>273</v>
      </c>
      <c r="D187" s="99" t="s">
        <v>304</v>
      </c>
      <c r="E187" s="99" t="s">
        <v>305</v>
      </c>
      <c r="F187" s="99" t="s">
        <v>306</v>
      </c>
      <c r="G187" s="99"/>
      <c r="H187" s="99"/>
      <c r="I187" s="99"/>
      <c r="J187" s="99"/>
      <c r="K187" s="99"/>
      <c r="L187" s="261" t="s">
        <v>307</v>
      </c>
      <c r="M187" s="153" t="s">
        <v>214</v>
      </c>
      <c r="N187" s="195"/>
      <c r="O187" s="146">
        <v>2000000</v>
      </c>
      <c r="P187" s="156"/>
      <c r="Q187" s="189" t="s">
        <v>131</v>
      </c>
    </row>
    <row r="188" spans="1:17" s="18" customFormat="1" ht="60" x14ac:dyDescent="0.2">
      <c r="A188" s="148">
        <v>56</v>
      </c>
      <c r="B188" s="145">
        <v>7.17</v>
      </c>
      <c r="C188" s="153" t="s">
        <v>423</v>
      </c>
      <c r="D188" s="99" t="s">
        <v>202</v>
      </c>
      <c r="E188" s="99" t="s">
        <v>244</v>
      </c>
      <c r="F188" s="99" t="s">
        <v>245</v>
      </c>
      <c r="G188" s="99"/>
      <c r="H188" s="99"/>
      <c r="I188" s="99" t="s">
        <v>49</v>
      </c>
      <c r="J188" s="99" t="s">
        <v>49</v>
      </c>
      <c r="K188" s="99"/>
      <c r="L188" s="99" t="s">
        <v>43</v>
      </c>
      <c r="M188" s="262" t="s">
        <v>649</v>
      </c>
      <c r="N188" s="263"/>
      <c r="O188" s="264">
        <v>6000000</v>
      </c>
      <c r="P188" s="147"/>
      <c r="Q188" s="117" t="s">
        <v>179</v>
      </c>
    </row>
    <row r="189" spans="1:17" s="182" customFormat="1" ht="75" x14ac:dyDescent="0.2">
      <c r="A189" s="148">
        <v>57</v>
      </c>
      <c r="B189" s="196">
        <v>25.01</v>
      </c>
      <c r="C189" s="159" t="s">
        <v>658</v>
      </c>
      <c r="D189" s="159" t="s">
        <v>354</v>
      </c>
      <c r="E189" s="159" t="s">
        <v>355</v>
      </c>
      <c r="F189" s="159" t="s">
        <v>356</v>
      </c>
      <c r="G189" s="159" t="s">
        <v>49</v>
      </c>
      <c r="H189" s="159"/>
      <c r="I189" s="159"/>
      <c r="J189" s="159" t="s">
        <v>49</v>
      </c>
      <c r="K189" s="159" t="s">
        <v>49</v>
      </c>
      <c r="L189" s="159" t="s">
        <v>124</v>
      </c>
      <c r="M189" s="226" t="s">
        <v>659</v>
      </c>
      <c r="N189" s="238"/>
      <c r="O189" s="265">
        <v>2500000</v>
      </c>
      <c r="Q189" s="159" t="s">
        <v>179</v>
      </c>
    </row>
    <row r="190" spans="1:17" s="80" customFormat="1" ht="30" x14ac:dyDescent="0.2">
      <c r="A190" s="148">
        <v>58</v>
      </c>
      <c r="B190" s="145">
        <v>7.11</v>
      </c>
      <c r="C190" s="190" t="s">
        <v>174</v>
      </c>
      <c r="D190" s="149" t="s">
        <v>175</v>
      </c>
      <c r="E190" s="97" t="s">
        <v>176</v>
      </c>
      <c r="F190" s="97" t="s">
        <v>177</v>
      </c>
      <c r="G190" s="97"/>
      <c r="H190" s="191"/>
      <c r="I190" s="191"/>
      <c r="J190" s="191"/>
      <c r="K190" s="191" t="s">
        <v>14</v>
      </c>
      <c r="L190" s="97" t="s">
        <v>63</v>
      </c>
      <c r="M190" s="266" t="s">
        <v>178</v>
      </c>
      <c r="N190" s="267"/>
      <c r="O190" s="268">
        <v>6310000</v>
      </c>
      <c r="P190" s="152"/>
      <c r="Q190" s="165" t="s">
        <v>179</v>
      </c>
    </row>
    <row r="191" spans="1:17" s="80" customFormat="1" ht="30" x14ac:dyDescent="0.2">
      <c r="A191" s="148">
        <v>59</v>
      </c>
      <c r="B191" s="145">
        <v>7.11</v>
      </c>
      <c r="C191" s="190" t="s">
        <v>189</v>
      </c>
      <c r="D191" s="149" t="s">
        <v>190</v>
      </c>
      <c r="E191" s="97" t="s">
        <v>191</v>
      </c>
      <c r="F191" s="97" t="s">
        <v>192</v>
      </c>
      <c r="G191" s="97"/>
      <c r="H191" s="191"/>
      <c r="I191" s="191"/>
      <c r="J191" s="191"/>
      <c r="K191" s="191" t="s">
        <v>14</v>
      </c>
      <c r="L191" s="97" t="s">
        <v>193</v>
      </c>
      <c r="M191" s="266" t="s">
        <v>194</v>
      </c>
      <c r="N191" s="267"/>
      <c r="O191" s="268">
        <v>8640000</v>
      </c>
      <c r="P191" s="152"/>
      <c r="Q191" s="165" t="s">
        <v>179</v>
      </c>
    </row>
    <row r="192" spans="1:17" s="80" customFormat="1" ht="30" x14ac:dyDescent="0.2">
      <c r="A192" s="148">
        <v>60</v>
      </c>
      <c r="B192" s="145">
        <v>7.06</v>
      </c>
      <c r="C192" s="190" t="s">
        <v>201</v>
      </c>
      <c r="D192" s="149" t="s">
        <v>202</v>
      </c>
      <c r="E192" s="97" t="s">
        <v>203</v>
      </c>
      <c r="F192" s="97" t="s">
        <v>204</v>
      </c>
      <c r="G192" s="97"/>
      <c r="H192" s="191"/>
      <c r="I192" s="191" t="s">
        <v>14</v>
      </c>
      <c r="J192" s="191"/>
      <c r="K192" s="191"/>
      <c r="L192" s="97" t="s">
        <v>193</v>
      </c>
      <c r="M192" s="266" t="s">
        <v>205</v>
      </c>
      <c r="N192" s="269"/>
      <c r="O192" s="268">
        <v>4000000</v>
      </c>
      <c r="P192" s="152"/>
      <c r="Q192" s="165" t="s">
        <v>179</v>
      </c>
    </row>
    <row r="193" spans="1:17" s="18" customFormat="1" ht="45" x14ac:dyDescent="0.2">
      <c r="A193" s="148">
        <v>61</v>
      </c>
      <c r="B193" s="145">
        <v>7.09</v>
      </c>
      <c r="C193" s="153" t="s">
        <v>215</v>
      </c>
      <c r="D193" s="99" t="s">
        <v>216</v>
      </c>
      <c r="E193" s="99" t="s">
        <v>217</v>
      </c>
      <c r="F193" s="99" t="s">
        <v>218</v>
      </c>
      <c r="G193" s="99" t="s">
        <v>49</v>
      </c>
      <c r="H193" s="99"/>
      <c r="I193" s="99" t="s">
        <v>49</v>
      </c>
      <c r="J193" s="99" t="s">
        <v>49</v>
      </c>
      <c r="K193" s="99"/>
      <c r="L193" s="99" t="s">
        <v>43</v>
      </c>
      <c r="M193" s="153" t="s">
        <v>219</v>
      </c>
      <c r="N193" s="140"/>
      <c r="O193" s="146">
        <v>3000000</v>
      </c>
      <c r="P193" s="147"/>
      <c r="Q193" s="117" t="s">
        <v>179</v>
      </c>
    </row>
    <row r="194" spans="1:17" s="182" customFormat="1" ht="60" x14ac:dyDescent="0.2">
      <c r="A194" s="148">
        <v>62</v>
      </c>
      <c r="B194" s="244">
        <v>7.09</v>
      </c>
      <c r="C194" s="158" t="s">
        <v>382</v>
      </c>
      <c r="D194" s="117" t="s">
        <v>383</v>
      </c>
      <c r="E194" s="117" t="s">
        <v>384</v>
      </c>
      <c r="F194" s="117" t="s">
        <v>385</v>
      </c>
      <c r="G194" s="117"/>
      <c r="H194" s="117"/>
      <c r="I194" s="117"/>
      <c r="J194" s="117"/>
      <c r="K194" s="117"/>
      <c r="L194" s="117" t="s">
        <v>124</v>
      </c>
      <c r="M194" s="172" t="s">
        <v>652</v>
      </c>
      <c r="N194" s="238"/>
      <c r="O194" s="270">
        <v>600000</v>
      </c>
      <c r="P194" s="271"/>
      <c r="Q194" s="117" t="s">
        <v>179</v>
      </c>
    </row>
    <row r="195" spans="1:17" s="182" customFormat="1" ht="60" x14ac:dyDescent="0.2">
      <c r="A195" s="148">
        <v>63</v>
      </c>
      <c r="B195" s="3">
        <v>7.15</v>
      </c>
      <c r="C195" s="172" t="s">
        <v>423</v>
      </c>
      <c r="D195" s="159" t="s">
        <v>424</v>
      </c>
      <c r="E195" s="159" t="s">
        <v>425</v>
      </c>
      <c r="F195" s="159" t="s">
        <v>412</v>
      </c>
      <c r="G195" s="159"/>
      <c r="H195" s="159"/>
      <c r="I195" s="159" t="s">
        <v>49</v>
      </c>
      <c r="J195" s="159"/>
      <c r="K195" s="159"/>
      <c r="L195" s="159" t="s">
        <v>138</v>
      </c>
      <c r="M195" s="160" t="s">
        <v>664</v>
      </c>
      <c r="N195" s="272"/>
      <c r="O195" s="209">
        <v>1200000</v>
      </c>
      <c r="P195" s="215"/>
      <c r="Q195" s="159" t="s">
        <v>179</v>
      </c>
    </row>
    <row r="196" spans="1:17" s="80" customFormat="1" ht="90" x14ac:dyDescent="0.25">
      <c r="A196" s="148">
        <v>64</v>
      </c>
      <c r="B196" s="42">
        <v>7.17</v>
      </c>
      <c r="C196" s="114" t="s">
        <v>243</v>
      </c>
      <c r="D196" s="117" t="s">
        <v>635</v>
      </c>
      <c r="E196" s="159" t="s">
        <v>636</v>
      </c>
      <c r="F196" s="165" t="s">
        <v>637</v>
      </c>
      <c r="G196" s="117" t="s">
        <v>49</v>
      </c>
      <c r="H196" s="117"/>
      <c r="I196" s="117" t="s">
        <v>49</v>
      </c>
      <c r="J196" s="117"/>
      <c r="K196" s="117"/>
      <c r="L196" s="117" t="s">
        <v>632</v>
      </c>
      <c r="M196" s="117" t="s">
        <v>638</v>
      </c>
      <c r="N196" s="267"/>
      <c r="O196" s="271">
        <v>3600000</v>
      </c>
      <c r="Q196" s="165" t="s">
        <v>179</v>
      </c>
    </row>
    <row r="197" spans="1:17" s="18" customFormat="1" ht="45" x14ac:dyDescent="0.2">
      <c r="A197" s="148">
        <v>65</v>
      </c>
      <c r="B197" s="145">
        <v>20.010000000000002</v>
      </c>
      <c r="C197" s="153" t="s">
        <v>273</v>
      </c>
      <c r="D197" s="99" t="s">
        <v>274</v>
      </c>
      <c r="E197" s="99" t="s">
        <v>275</v>
      </c>
      <c r="F197" s="99" t="s">
        <v>276</v>
      </c>
      <c r="G197" s="99"/>
      <c r="H197" s="99"/>
      <c r="I197" s="99" t="s">
        <v>49</v>
      </c>
      <c r="J197" s="99" t="s">
        <v>49</v>
      </c>
      <c r="K197" s="99"/>
      <c r="L197" s="99" t="s">
        <v>43</v>
      </c>
      <c r="M197" s="153" t="s">
        <v>249</v>
      </c>
      <c r="N197" s="140"/>
      <c r="O197" s="146">
        <v>5000000</v>
      </c>
      <c r="P197" s="147"/>
      <c r="Q197" s="117" t="s">
        <v>277</v>
      </c>
    </row>
    <row r="198" spans="1:17" s="80" customFormat="1" ht="180" x14ac:dyDescent="0.2">
      <c r="A198" s="148">
        <v>66</v>
      </c>
      <c r="B198" s="254" t="s">
        <v>535</v>
      </c>
      <c r="C198" s="255" t="s">
        <v>536</v>
      </c>
      <c r="D198" s="256" t="s">
        <v>537</v>
      </c>
      <c r="E198" s="137" t="s">
        <v>538</v>
      </c>
      <c r="F198" s="137" t="s">
        <v>539</v>
      </c>
      <c r="G198" s="137"/>
      <c r="H198" s="137"/>
      <c r="I198" s="137" t="s">
        <v>49</v>
      </c>
      <c r="J198" s="137" t="s">
        <v>49</v>
      </c>
      <c r="K198" s="137"/>
      <c r="L198" s="137" t="s">
        <v>526</v>
      </c>
      <c r="M198" s="257" t="s">
        <v>683</v>
      </c>
      <c r="N198" s="140"/>
      <c r="O198" s="146">
        <f>((500000+(9000*25))*2)+((500000+((20000+9000)*40)*4))+((20000+9000)*40*2)+((20000+9000)*40*2)+(9000*40*2)</f>
        <v>11950000</v>
      </c>
      <c r="P198" s="168"/>
      <c r="Q198" s="117" t="s">
        <v>277</v>
      </c>
    </row>
    <row r="199" spans="1:17" s="182" customFormat="1" ht="60" x14ac:dyDescent="0.2">
      <c r="A199" s="148">
        <v>67</v>
      </c>
      <c r="B199" s="3">
        <v>26.09</v>
      </c>
      <c r="C199" s="158" t="s">
        <v>134</v>
      </c>
      <c r="D199" s="159" t="s">
        <v>343</v>
      </c>
      <c r="E199" s="273" t="s">
        <v>344</v>
      </c>
      <c r="F199" s="159" t="s">
        <v>345</v>
      </c>
      <c r="G199" s="159"/>
      <c r="H199" s="159"/>
      <c r="I199" s="159"/>
      <c r="J199" s="159"/>
      <c r="K199" s="159"/>
      <c r="L199" s="159" t="s">
        <v>124</v>
      </c>
      <c r="M199" s="160" t="s">
        <v>346</v>
      </c>
      <c r="N199" s="274"/>
      <c r="O199" s="209" t="s">
        <v>347</v>
      </c>
      <c r="P199" s="226"/>
      <c r="Q199" s="159" t="s">
        <v>348</v>
      </c>
    </row>
    <row r="200" spans="1:17" s="182" customFormat="1" ht="60" x14ac:dyDescent="0.2">
      <c r="A200" s="148">
        <v>68</v>
      </c>
      <c r="B200" s="3">
        <v>26.09</v>
      </c>
      <c r="C200" s="158" t="s">
        <v>134</v>
      </c>
      <c r="D200" s="159" t="s">
        <v>349</v>
      </c>
      <c r="E200" s="159" t="s">
        <v>350</v>
      </c>
      <c r="F200" s="159"/>
      <c r="G200" s="159"/>
      <c r="H200" s="159"/>
      <c r="I200" s="159"/>
      <c r="J200" s="159"/>
      <c r="K200" s="159"/>
      <c r="L200" s="159" t="s">
        <v>351</v>
      </c>
      <c r="M200" s="160" t="s">
        <v>352</v>
      </c>
      <c r="N200" s="274"/>
      <c r="O200" s="209" t="s">
        <v>353</v>
      </c>
      <c r="P200" s="226"/>
      <c r="Q200" s="159" t="s">
        <v>348</v>
      </c>
    </row>
    <row r="201" spans="1:17" s="80" customFormat="1" ht="45" x14ac:dyDescent="0.2">
      <c r="A201" s="148">
        <v>69</v>
      </c>
      <c r="B201" s="275">
        <v>26.2</v>
      </c>
      <c r="C201" s="165" t="s">
        <v>629</v>
      </c>
      <c r="D201" s="165" t="s">
        <v>630</v>
      </c>
      <c r="E201" s="165" t="s">
        <v>631</v>
      </c>
      <c r="F201" s="165" t="s">
        <v>457</v>
      </c>
      <c r="G201" s="165" t="s">
        <v>49</v>
      </c>
      <c r="H201" s="165" t="s">
        <v>49</v>
      </c>
      <c r="I201" s="165" t="s">
        <v>49</v>
      </c>
      <c r="J201" s="165" t="s">
        <v>49</v>
      </c>
      <c r="K201" s="165" t="s">
        <v>49</v>
      </c>
      <c r="L201" s="165" t="s">
        <v>632</v>
      </c>
      <c r="M201" s="165" t="s">
        <v>633</v>
      </c>
      <c r="N201" s="267"/>
      <c r="O201" s="232">
        <v>10000000</v>
      </c>
      <c r="P201" s="233"/>
      <c r="Q201" s="165" t="s">
        <v>348</v>
      </c>
    </row>
    <row r="202" spans="1:17" s="182" customFormat="1" ht="60" x14ac:dyDescent="0.2">
      <c r="A202" s="148">
        <v>70</v>
      </c>
      <c r="B202" s="276">
        <v>27.01</v>
      </c>
      <c r="C202" s="158" t="s">
        <v>386</v>
      </c>
      <c r="D202" s="159" t="s">
        <v>387</v>
      </c>
      <c r="E202" s="159" t="s">
        <v>644</v>
      </c>
      <c r="F202" s="159" t="s">
        <v>388</v>
      </c>
      <c r="G202" s="159" t="s">
        <v>49</v>
      </c>
      <c r="H202" s="159" t="s">
        <v>49</v>
      </c>
      <c r="I202" s="159" t="s">
        <v>49</v>
      </c>
      <c r="J202" s="159" t="s">
        <v>49</v>
      </c>
      <c r="K202" s="159" t="s">
        <v>49</v>
      </c>
      <c r="L202" s="159" t="s">
        <v>389</v>
      </c>
      <c r="M202" s="160" t="s">
        <v>390</v>
      </c>
      <c r="N202" s="161"/>
      <c r="O202" s="209">
        <f>8*500000*12</f>
        <v>48000000</v>
      </c>
      <c r="P202" s="226"/>
      <c r="Q202" s="159" t="s">
        <v>643</v>
      </c>
    </row>
    <row r="203" spans="1:17" s="18" customFormat="1" ht="60" x14ac:dyDescent="0.2">
      <c r="A203" s="148">
        <v>71</v>
      </c>
      <c r="B203" s="8">
        <v>16.12</v>
      </c>
      <c r="C203" s="33" t="s">
        <v>591</v>
      </c>
      <c r="D203" s="33" t="s">
        <v>592</v>
      </c>
      <c r="E203" s="33" t="s">
        <v>593</v>
      </c>
      <c r="F203" s="33" t="s">
        <v>594</v>
      </c>
      <c r="G203" s="10"/>
      <c r="H203" s="10"/>
      <c r="I203" s="10" t="s">
        <v>563</v>
      </c>
      <c r="J203" s="10"/>
      <c r="K203" s="10"/>
      <c r="L203" s="10" t="s">
        <v>595</v>
      </c>
      <c r="M203" s="10" t="s">
        <v>596</v>
      </c>
      <c r="N203" s="34"/>
      <c r="O203" s="35">
        <v>5000000</v>
      </c>
      <c r="P203" s="36"/>
      <c r="Q203" s="68" t="s">
        <v>169</v>
      </c>
    </row>
    <row r="204" spans="1:17" s="282" customFormat="1" ht="60" x14ac:dyDescent="0.2">
      <c r="A204" s="148">
        <v>72</v>
      </c>
      <c r="B204" s="277">
        <v>16.12</v>
      </c>
      <c r="C204" s="278" t="s">
        <v>621</v>
      </c>
      <c r="D204" s="279" t="s">
        <v>622</v>
      </c>
      <c r="E204" s="279" t="s">
        <v>623</v>
      </c>
      <c r="F204" s="279"/>
      <c r="G204" s="279"/>
      <c r="H204" s="279"/>
      <c r="I204" s="279" t="s">
        <v>49</v>
      </c>
      <c r="J204" s="279"/>
      <c r="K204" s="279"/>
      <c r="L204" s="279" t="s">
        <v>624</v>
      </c>
      <c r="M204" s="279" t="s">
        <v>625</v>
      </c>
      <c r="N204" s="280"/>
      <c r="O204" s="270" t="s">
        <v>93</v>
      </c>
      <c r="P204" s="281"/>
      <c r="Q204" s="117" t="s">
        <v>169</v>
      </c>
    </row>
    <row r="205" spans="1:17" s="80" customFormat="1" ht="60" x14ac:dyDescent="0.2">
      <c r="A205" s="148">
        <v>73</v>
      </c>
      <c r="B205" s="145">
        <v>16.09</v>
      </c>
      <c r="C205" s="190" t="s">
        <v>164</v>
      </c>
      <c r="D205" s="149" t="s">
        <v>165</v>
      </c>
      <c r="E205" s="97" t="s">
        <v>166</v>
      </c>
      <c r="F205" s="97" t="s">
        <v>167</v>
      </c>
      <c r="G205" s="191"/>
      <c r="H205" s="191"/>
      <c r="I205" s="191"/>
      <c r="J205" s="191" t="s">
        <v>14</v>
      </c>
      <c r="K205" s="191" t="s">
        <v>14</v>
      </c>
      <c r="L205" s="97" t="s">
        <v>63</v>
      </c>
      <c r="M205" s="192" t="s">
        <v>168</v>
      </c>
      <c r="N205" s="195"/>
      <c r="O205" s="283">
        <v>5000000</v>
      </c>
      <c r="P205" s="152"/>
      <c r="Q205" s="165" t="s">
        <v>169</v>
      </c>
    </row>
    <row r="206" spans="1:17" s="41" customFormat="1" ht="60" x14ac:dyDescent="0.2">
      <c r="A206" s="148">
        <v>74</v>
      </c>
      <c r="B206" s="20">
        <v>21.02</v>
      </c>
      <c r="C206" s="284" t="s">
        <v>611</v>
      </c>
      <c r="D206" s="285" t="s">
        <v>612</v>
      </c>
      <c r="E206" s="285" t="s">
        <v>612</v>
      </c>
      <c r="F206" s="22" t="s">
        <v>613</v>
      </c>
      <c r="G206" s="20" t="s">
        <v>49</v>
      </c>
      <c r="H206" s="20" t="s">
        <v>49</v>
      </c>
      <c r="I206" s="20" t="s">
        <v>49</v>
      </c>
      <c r="J206" s="20" t="s">
        <v>49</v>
      </c>
      <c r="K206" s="20" t="s">
        <v>49</v>
      </c>
      <c r="L206" s="20" t="s">
        <v>43</v>
      </c>
      <c r="M206" s="20" t="s">
        <v>614</v>
      </c>
      <c r="N206" s="14"/>
      <c r="O206" s="15">
        <v>100000000</v>
      </c>
      <c r="P206" s="30"/>
      <c r="Q206" s="17" t="s">
        <v>615</v>
      </c>
    </row>
    <row r="207" spans="1:17" s="41" customFormat="1" ht="75" x14ac:dyDescent="0.25">
      <c r="A207" s="148">
        <v>75</v>
      </c>
      <c r="B207" s="20">
        <v>21.04</v>
      </c>
      <c r="C207" s="158" t="s">
        <v>616</v>
      </c>
      <c r="D207" s="117" t="s">
        <v>617</v>
      </c>
      <c r="E207" s="114" t="s">
        <v>618</v>
      </c>
      <c r="F207" s="22" t="s">
        <v>613</v>
      </c>
      <c r="G207" s="20" t="s">
        <v>49</v>
      </c>
      <c r="H207" s="20" t="s">
        <v>49</v>
      </c>
      <c r="I207" s="20" t="s">
        <v>49</v>
      </c>
      <c r="J207" s="20" t="s">
        <v>49</v>
      </c>
      <c r="K207" s="20" t="s">
        <v>49</v>
      </c>
      <c r="L207" s="20" t="s">
        <v>43</v>
      </c>
      <c r="M207" s="20" t="s">
        <v>619</v>
      </c>
      <c r="N207" s="14"/>
      <c r="O207" s="15">
        <v>55000000</v>
      </c>
      <c r="P207" s="30"/>
      <c r="Q207" s="17" t="s">
        <v>620</v>
      </c>
    </row>
    <row r="208" spans="1:17" s="80" customFormat="1" ht="60.75" customHeight="1" x14ac:dyDescent="0.2">
      <c r="A208" s="148">
        <v>76</v>
      </c>
      <c r="B208" s="275">
        <v>25.04</v>
      </c>
      <c r="C208" s="165" t="s">
        <v>107</v>
      </c>
      <c r="D208" s="165" t="s">
        <v>108</v>
      </c>
      <c r="E208" s="165" t="s">
        <v>109</v>
      </c>
      <c r="F208" s="165" t="s">
        <v>634</v>
      </c>
      <c r="G208" s="165" t="s">
        <v>49</v>
      </c>
      <c r="H208" s="165" t="s">
        <v>49</v>
      </c>
      <c r="I208" s="165" t="s">
        <v>49</v>
      </c>
      <c r="J208" s="165" t="s">
        <v>49</v>
      </c>
      <c r="K208" s="165" t="s">
        <v>49</v>
      </c>
      <c r="L208" s="248" t="s">
        <v>632</v>
      </c>
      <c r="M208" s="286"/>
      <c r="N208" s="267"/>
      <c r="O208" s="232">
        <v>8000000</v>
      </c>
      <c r="Q208" s="165" t="s">
        <v>113</v>
      </c>
    </row>
    <row r="209" spans="1:17" s="80" customFormat="1" ht="90" x14ac:dyDescent="0.2">
      <c r="A209" s="148">
        <v>77</v>
      </c>
      <c r="B209" s="287" t="s">
        <v>521</v>
      </c>
      <c r="C209" s="255" t="s">
        <v>522</v>
      </c>
      <c r="D209" s="137" t="s">
        <v>523</v>
      </c>
      <c r="E209" s="137" t="s">
        <v>524</v>
      </c>
      <c r="F209" s="137" t="s">
        <v>525</v>
      </c>
      <c r="G209" s="137" t="s">
        <v>49</v>
      </c>
      <c r="H209" s="137" t="s">
        <v>49</v>
      </c>
      <c r="I209" s="137" t="s">
        <v>49</v>
      </c>
      <c r="J209" s="137" t="s">
        <v>49</v>
      </c>
      <c r="K209" s="137" t="s">
        <v>49</v>
      </c>
      <c r="L209" s="137" t="s">
        <v>526</v>
      </c>
      <c r="M209" s="257" t="s">
        <v>674</v>
      </c>
      <c r="N209" s="140"/>
      <c r="O209" s="146">
        <f>(9000*30*2)+((500000+(9000*40))*4)+((500000+((20000+9000)*40)*4))</f>
        <v>9120000</v>
      </c>
      <c r="P209" s="168"/>
      <c r="Q209" s="117" t="s">
        <v>1391</v>
      </c>
    </row>
    <row r="210" spans="1:17" s="80" customFormat="1" ht="45" x14ac:dyDescent="0.2">
      <c r="A210" s="148">
        <v>78</v>
      </c>
      <c r="B210" s="157">
        <v>5.01</v>
      </c>
      <c r="C210" s="288" t="s">
        <v>540</v>
      </c>
      <c r="D210" s="289" t="s">
        <v>541</v>
      </c>
      <c r="E210" s="290" t="s">
        <v>542</v>
      </c>
      <c r="F210" s="290" t="s">
        <v>543</v>
      </c>
      <c r="G210" s="290" t="s">
        <v>49</v>
      </c>
      <c r="H210" s="290" t="s">
        <v>49</v>
      </c>
      <c r="I210" s="290"/>
      <c r="J210" s="290" t="s">
        <v>49</v>
      </c>
      <c r="K210" s="290" t="s">
        <v>49</v>
      </c>
      <c r="L210" s="290" t="s">
        <v>543</v>
      </c>
      <c r="M210" s="291" t="s">
        <v>544</v>
      </c>
      <c r="N210" s="208"/>
      <c r="O210" s="168">
        <v>4000000</v>
      </c>
      <c r="P210" s="168"/>
      <c r="Q210" s="117" t="s">
        <v>1391</v>
      </c>
    </row>
    <row r="211" spans="1:17" s="80" customFormat="1" ht="45" x14ac:dyDescent="0.2">
      <c r="A211" s="148">
        <v>79</v>
      </c>
      <c r="B211" s="157">
        <v>5.0199999999999996</v>
      </c>
      <c r="C211" s="292" t="s">
        <v>545</v>
      </c>
      <c r="D211" s="289" t="s">
        <v>546</v>
      </c>
      <c r="E211" s="290" t="s">
        <v>547</v>
      </c>
      <c r="F211" s="290" t="s">
        <v>543</v>
      </c>
      <c r="G211" s="290" t="s">
        <v>49</v>
      </c>
      <c r="H211" s="290" t="s">
        <v>49</v>
      </c>
      <c r="I211" s="290"/>
      <c r="J211" s="290" t="s">
        <v>49</v>
      </c>
      <c r="K211" s="290" t="s">
        <v>49</v>
      </c>
      <c r="L211" s="290" t="s">
        <v>543</v>
      </c>
      <c r="M211" s="291" t="s">
        <v>544</v>
      </c>
      <c r="N211" s="208"/>
      <c r="O211" s="168">
        <v>5000000</v>
      </c>
      <c r="P211" s="168"/>
      <c r="Q211" s="117" t="s">
        <v>1391</v>
      </c>
    </row>
    <row r="212" spans="1:17" s="18" customFormat="1" ht="45" x14ac:dyDescent="0.2">
      <c r="A212" s="148">
        <v>80</v>
      </c>
      <c r="B212" s="293">
        <v>5.04</v>
      </c>
      <c r="C212" s="294" t="s">
        <v>206</v>
      </c>
      <c r="D212" s="99" t="s">
        <v>207</v>
      </c>
      <c r="E212" s="99" t="s">
        <v>208</v>
      </c>
      <c r="F212" s="99" t="s">
        <v>209</v>
      </c>
      <c r="G212" s="99" t="s">
        <v>49</v>
      </c>
      <c r="H212" s="99"/>
      <c r="I212" s="99" t="s">
        <v>49</v>
      </c>
      <c r="J212" s="99" t="s">
        <v>49</v>
      </c>
      <c r="K212" s="99"/>
      <c r="L212" s="99" t="s">
        <v>43</v>
      </c>
      <c r="M212" s="153" t="s">
        <v>210</v>
      </c>
      <c r="N212" s="140"/>
      <c r="O212" s="146">
        <v>2000000</v>
      </c>
      <c r="P212" s="147"/>
      <c r="Q212" s="117" t="s">
        <v>1391</v>
      </c>
    </row>
    <row r="213" spans="1:17" s="80" customFormat="1" ht="60" x14ac:dyDescent="0.2">
      <c r="A213" s="148">
        <v>81</v>
      </c>
      <c r="B213" s="287" t="s">
        <v>527</v>
      </c>
      <c r="C213" s="202" t="s">
        <v>211</v>
      </c>
      <c r="D213" s="137" t="s">
        <v>528</v>
      </c>
      <c r="E213" s="137" t="s">
        <v>529</v>
      </c>
      <c r="F213" s="137" t="s">
        <v>530</v>
      </c>
      <c r="G213" s="137"/>
      <c r="H213" s="137"/>
      <c r="I213" s="137" t="s">
        <v>49</v>
      </c>
      <c r="J213" s="137" t="s">
        <v>49</v>
      </c>
      <c r="K213" s="137" t="s">
        <v>49</v>
      </c>
      <c r="L213" s="137" t="s">
        <v>526</v>
      </c>
      <c r="M213" s="257" t="s">
        <v>677</v>
      </c>
      <c r="N213" s="140"/>
      <c r="O213" s="146">
        <f>(500000+(9000*40))*4</f>
        <v>3440000</v>
      </c>
      <c r="P213" s="168"/>
      <c r="Q213" s="117" t="s">
        <v>640</v>
      </c>
    </row>
    <row r="214" spans="1:17" s="80" customFormat="1" ht="30" x14ac:dyDescent="0.2">
      <c r="A214" s="148">
        <v>82</v>
      </c>
      <c r="B214" s="145">
        <v>11.01</v>
      </c>
      <c r="C214" s="190" t="s">
        <v>180</v>
      </c>
      <c r="D214" s="149" t="s">
        <v>181</v>
      </c>
      <c r="E214" s="97" t="s">
        <v>182</v>
      </c>
      <c r="F214" s="97" t="s">
        <v>183</v>
      </c>
      <c r="G214" s="191" t="s">
        <v>14</v>
      </c>
      <c r="H214" s="191" t="s">
        <v>14</v>
      </c>
      <c r="I214" s="191" t="s">
        <v>14</v>
      </c>
      <c r="J214" s="191" t="s">
        <v>14</v>
      </c>
      <c r="K214" s="191" t="s">
        <v>14</v>
      </c>
      <c r="L214" s="97" t="s">
        <v>69</v>
      </c>
      <c r="M214" s="192" t="s">
        <v>184</v>
      </c>
      <c r="N214" s="195"/>
      <c r="O214" s="283">
        <v>6650000</v>
      </c>
      <c r="P214" s="152"/>
      <c r="Q214" s="165" t="s">
        <v>640</v>
      </c>
    </row>
    <row r="215" spans="1:17" s="80" customFormat="1" ht="30" x14ac:dyDescent="0.2">
      <c r="A215" s="148">
        <v>83</v>
      </c>
      <c r="B215" s="145">
        <v>11.06</v>
      </c>
      <c r="C215" s="190" t="s">
        <v>185</v>
      </c>
      <c r="D215" s="149" t="s">
        <v>186</v>
      </c>
      <c r="E215" s="97" t="s">
        <v>187</v>
      </c>
      <c r="F215" s="97" t="s">
        <v>152</v>
      </c>
      <c r="G215" s="97"/>
      <c r="H215" s="191"/>
      <c r="I215" s="191"/>
      <c r="J215" s="191"/>
      <c r="K215" s="191"/>
      <c r="L215" s="97" t="s">
        <v>69</v>
      </c>
      <c r="M215" s="192" t="s">
        <v>188</v>
      </c>
      <c r="N215" s="195"/>
      <c r="O215" s="283">
        <v>3000000</v>
      </c>
      <c r="P215" s="152"/>
      <c r="Q215" s="165" t="s">
        <v>640</v>
      </c>
    </row>
    <row r="216" spans="1:17" s="18" customFormat="1" ht="30" x14ac:dyDescent="0.2">
      <c r="A216" s="148">
        <v>84</v>
      </c>
      <c r="B216" s="145">
        <v>11.07</v>
      </c>
      <c r="C216" s="153" t="s">
        <v>211</v>
      </c>
      <c r="D216" s="99" t="s">
        <v>211</v>
      </c>
      <c r="E216" s="99" t="s">
        <v>212</v>
      </c>
      <c r="F216" s="99" t="s">
        <v>213</v>
      </c>
      <c r="G216" s="99" t="s">
        <v>49</v>
      </c>
      <c r="H216" s="99" t="s">
        <v>49</v>
      </c>
      <c r="I216" s="99"/>
      <c r="J216" s="99" t="s">
        <v>49</v>
      </c>
      <c r="K216" s="99" t="s">
        <v>49</v>
      </c>
      <c r="L216" s="99" t="s">
        <v>43</v>
      </c>
      <c r="M216" s="153" t="s">
        <v>214</v>
      </c>
      <c r="N216" s="140"/>
      <c r="O216" s="146">
        <v>3000000</v>
      </c>
      <c r="P216" s="147"/>
      <c r="Q216" s="165" t="s">
        <v>640</v>
      </c>
    </row>
    <row r="217" spans="1:17" s="80" customFormat="1" ht="30" x14ac:dyDescent="0.2">
      <c r="A217" s="148">
        <v>85</v>
      </c>
      <c r="B217" s="145">
        <v>2.08</v>
      </c>
      <c r="C217" s="190" t="s">
        <v>195</v>
      </c>
      <c r="D217" s="149" t="s">
        <v>196</v>
      </c>
      <c r="E217" s="97" t="s">
        <v>197</v>
      </c>
      <c r="F217" s="97" t="s">
        <v>152</v>
      </c>
      <c r="G217" s="191" t="s">
        <v>14</v>
      </c>
      <c r="H217" s="191" t="s">
        <v>14</v>
      </c>
      <c r="I217" s="191" t="s">
        <v>14</v>
      </c>
      <c r="J217" s="191" t="s">
        <v>14</v>
      </c>
      <c r="K217" s="191" t="s">
        <v>14</v>
      </c>
      <c r="L217" s="97" t="s">
        <v>198</v>
      </c>
      <c r="M217" s="192" t="s">
        <v>199</v>
      </c>
      <c r="N217" s="295"/>
      <c r="O217" s="283">
        <v>7500000</v>
      </c>
      <c r="P217" s="152"/>
      <c r="Q217" s="165" t="s">
        <v>200</v>
      </c>
    </row>
    <row r="218" spans="1:17" s="182" customFormat="1" ht="60" x14ac:dyDescent="0.2">
      <c r="A218" s="148">
        <v>86</v>
      </c>
      <c r="B218" s="3">
        <v>2.02</v>
      </c>
      <c r="C218" s="172" t="s">
        <v>314</v>
      </c>
      <c r="D218" s="159" t="s">
        <v>315</v>
      </c>
      <c r="E218" s="159" t="s">
        <v>316</v>
      </c>
      <c r="F218" s="159" t="s">
        <v>317</v>
      </c>
      <c r="G218" s="159" t="s">
        <v>49</v>
      </c>
      <c r="H218" s="159" t="s">
        <v>49</v>
      </c>
      <c r="I218" s="159" t="s">
        <v>49</v>
      </c>
      <c r="J218" s="159" t="s">
        <v>49</v>
      </c>
      <c r="K218" s="159" t="s">
        <v>49</v>
      </c>
      <c r="L218" s="159" t="s">
        <v>318</v>
      </c>
      <c r="M218" s="160" t="s">
        <v>656</v>
      </c>
      <c r="N218" s="227"/>
      <c r="O218" s="230">
        <f>200*3000000</f>
        <v>600000000</v>
      </c>
      <c r="P218" s="229"/>
      <c r="Q218" s="159" t="s">
        <v>200</v>
      </c>
    </row>
    <row r="219" spans="1:17" s="182" customFormat="1" ht="75" x14ac:dyDescent="0.2">
      <c r="A219" s="148">
        <v>87</v>
      </c>
      <c r="B219" s="2">
        <v>2.08</v>
      </c>
      <c r="C219" s="172" t="s">
        <v>329</v>
      </c>
      <c r="D219" s="159" t="s">
        <v>330</v>
      </c>
      <c r="E219" s="159" t="s">
        <v>331</v>
      </c>
      <c r="F219" s="159" t="s">
        <v>49</v>
      </c>
      <c r="G219" s="159" t="s">
        <v>49</v>
      </c>
      <c r="H219" s="159" t="s">
        <v>49</v>
      </c>
      <c r="I219" s="159" t="s">
        <v>49</v>
      </c>
      <c r="J219" s="159" t="s">
        <v>49</v>
      </c>
      <c r="K219" s="159" t="s">
        <v>49</v>
      </c>
      <c r="L219" s="159" t="s">
        <v>332</v>
      </c>
      <c r="M219" s="160" t="s">
        <v>657</v>
      </c>
      <c r="N219" s="227"/>
      <c r="O219" s="230">
        <v>36900000</v>
      </c>
      <c r="Q219" s="159" t="s">
        <v>200</v>
      </c>
    </row>
    <row r="220" spans="1:17" s="182" customFormat="1" ht="71.25" x14ac:dyDescent="0.2">
      <c r="A220" s="148">
        <v>88</v>
      </c>
      <c r="B220" s="28">
        <v>3.07</v>
      </c>
      <c r="C220" s="158" t="s">
        <v>357</v>
      </c>
      <c r="D220" s="159" t="s">
        <v>358</v>
      </c>
      <c r="E220" s="159" t="s">
        <v>359</v>
      </c>
      <c r="F220" s="159" t="s">
        <v>345</v>
      </c>
      <c r="G220" s="159" t="s">
        <v>49</v>
      </c>
      <c r="H220" s="159" t="s">
        <v>49</v>
      </c>
      <c r="I220" s="159" t="s">
        <v>49</v>
      </c>
      <c r="J220" s="159" t="s">
        <v>49</v>
      </c>
      <c r="K220" s="159" t="s">
        <v>49</v>
      </c>
      <c r="L220" s="245" t="s">
        <v>660</v>
      </c>
      <c r="M220" s="160" t="s">
        <v>360</v>
      </c>
      <c r="N220" s="161"/>
      <c r="O220" s="209">
        <f>319*1100000</f>
        <v>350900000</v>
      </c>
      <c r="P220" s="226"/>
      <c r="Q220" s="159" t="s">
        <v>200</v>
      </c>
    </row>
    <row r="221" spans="1:17" s="201" customFormat="1" ht="30" x14ac:dyDescent="0.2">
      <c r="A221" s="148">
        <v>89</v>
      </c>
      <c r="B221" s="244">
        <v>3.06</v>
      </c>
      <c r="C221" s="158" t="s">
        <v>361</v>
      </c>
      <c r="D221" s="159" t="s">
        <v>362</v>
      </c>
      <c r="E221" s="159" t="s">
        <v>363</v>
      </c>
      <c r="F221" s="159" t="s">
        <v>364</v>
      </c>
      <c r="G221" s="159" t="s">
        <v>49</v>
      </c>
      <c r="H221" s="159" t="s">
        <v>49</v>
      </c>
      <c r="I221" s="159" t="s">
        <v>49</v>
      </c>
      <c r="J221" s="159" t="s">
        <v>49</v>
      </c>
      <c r="K221" s="159" t="s">
        <v>49</v>
      </c>
      <c r="L221" s="245" t="s">
        <v>365</v>
      </c>
      <c r="M221" s="160" t="s">
        <v>366</v>
      </c>
      <c r="N221" s="161"/>
      <c r="O221" s="209">
        <v>10000000</v>
      </c>
      <c r="P221" s="226"/>
      <c r="Q221" s="159" t="s">
        <v>200</v>
      </c>
    </row>
    <row r="222" spans="1:17" s="80" customFormat="1" ht="75" x14ac:dyDescent="0.2">
      <c r="A222" s="148">
        <v>90</v>
      </c>
      <c r="B222" s="244">
        <v>2.0699999999999998</v>
      </c>
      <c r="C222" s="158" t="s">
        <v>367</v>
      </c>
      <c r="D222" s="165" t="s">
        <v>330</v>
      </c>
      <c r="E222" s="165" t="s">
        <v>368</v>
      </c>
      <c r="F222" s="165" t="s">
        <v>345</v>
      </c>
      <c r="G222" s="165" t="s">
        <v>49</v>
      </c>
      <c r="H222" s="165" t="s">
        <v>49</v>
      </c>
      <c r="I222" s="165" t="s">
        <v>49</v>
      </c>
      <c r="J222" s="165" t="s">
        <v>49</v>
      </c>
      <c r="K222" s="165" t="s">
        <v>49</v>
      </c>
      <c r="L222" s="248" t="s">
        <v>661</v>
      </c>
      <c r="M222" s="166" t="s">
        <v>662</v>
      </c>
      <c r="N222" s="167"/>
      <c r="O222" s="232">
        <v>73000000</v>
      </c>
      <c r="Q222" s="165" t="s">
        <v>200</v>
      </c>
    </row>
    <row r="223" spans="1:17" s="182" customFormat="1" ht="60" x14ac:dyDescent="0.2">
      <c r="A223" s="148">
        <v>91</v>
      </c>
      <c r="B223" s="244">
        <v>2.0099999999999998</v>
      </c>
      <c r="C223" s="158" t="s">
        <v>369</v>
      </c>
      <c r="D223" s="159" t="s">
        <v>370</v>
      </c>
      <c r="E223" s="159" t="s">
        <v>371</v>
      </c>
      <c r="F223" s="159" t="s">
        <v>372</v>
      </c>
      <c r="G223" s="159" t="s">
        <v>49</v>
      </c>
      <c r="H223" s="159" t="s">
        <v>49</v>
      </c>
      <c r="I223" s="159" t="s">
        <v>49</v>
      </c>
      <c r="J223" s="159" t="s">
        <v>49</v>
      </c>
      <c r="K223" s="159" t="s">
        <v>49</v>
      </c>
      <c r="L223" s="245" t="s">
        <v>373</v>
      </c>
      <c r="M223" s="160" t="s">
        <v>663</v>
      </c>
      <c r="N223" s="161"/>
      <c r="O223" s="209">
        <f>50*3000000</f>
        <v>150000000</v>
      </c>
      <c r="P223" s="226"/>
      <c r="Q223" s="159" t="s">
        <v>200</v>
      </c>
    </row>
    <row r="224" spans="1:17" s="182" customFormat="1" ht="45" x14ac:dyDescent="0.2">
      <c r="A224" s="148">
        <v>92</v>
      </c>
      <c r="B224" s="244">
        <v>2.02</v>
      </c>
      <c r="C224" s="158" t="s">
        <v>314</v>
      </c>
      <c r="D224" s="159" t="s">
        <v>374</v>
      </c>
      <c r="E224" s="159" t="s">
        <v>375</v>
      </c>
      <c r="F224" s="159" t="s">
        <v>345</v>
      </c>
      <c r="G224" s="159" t="s">
        <v>49</v>
      </c>
      <c r="H224" s="159" t="s">
        <v>49</v>
      </c>
      <c r="I224" s="159" t="s">
        <v>49</v>
      </c>
      <c r="J224" s="159" t="s">
        <v>49</v>
      </c>
      <c r="K224" s="159"/>
      <c r="L224" s="245" t="s">
        <v>376</v>
      </c>
      <c r="M224" s="160" t="s">
        <v>377</v>
      </c>
      <c r="N224" s="161"/>
      <c r="O224" s="209">
        <f>7*4500000</f>
        <v>31500000</v>
      </c>
      <c r="P224" s="226"/>
      <c r="Q224" s="159" t="s">
        <v>200</v>
      </c>
    </row>
    <row r="225" spans="1:17" s="182" customFormat="1" ht="45" x14ac:dyDescent="0.2">
      <c r="A225" s="148">
        <v>93</v>
      </c>
      <c r="B225" s="244">
        <v>2.02</v>
      </c>
      <c r="C225" s="158" t="s">
        <v>314</v>
      </c>
      <c r="D225" s="159" t="s">
        <v>395</v>
      </c>
      <c r="E225" s="159" t="s">
        <v>396</v>
      </c>
      <c r="F225" s="159" t="s">
        <v>388</v>
      </c>
      <c r="G225" s="159"/>
      <c r="H225" s="159"/>
      <c r="I225" s="159"/>
      <c r="J225" s="159"/>
      <c r="K225" s="159"/>
      <c r="L225" s="159" t="s">
        <v>389</v>
      </c>
      <c r="M225" s="160" t="s">
        <v>397</v>
      </c>
      <c r="N225" s="161"/>
      <c r="O225" s="209">
        <f>300*3000000</f>
        <v>900000000</v>
      </c>
      <c r="P225" s="226"/>
      <c r="Q225" s="165" t="s">
        <v>200</v>
      </c>
    </row>
    <row r="226" spans="1:17" s="182" customFormat="1" ht="45" x14ac:dyDescent="0.2">
      <c r="A226" s="148">
        <v>94</v>
      </c>
      <c r="B226" s="244">
        <v>2.0699999999999998</v>
      </c>
      <c r="C226" s="172" t="s">
        <v>329</v>
      </c>
      <c r="D226" s="159" t="s">
        <v>406</v>
      </c>
      <c r="E226" s="159" t="s">
        <v>407</v>
      </c>
      <c r="F226" s="159" t="s">
        <v>404</v>
      </c>
      <c r="G226" s="159"/>
      <c r="H226" s="159"/>
      <c r="I226" s="159"/>
      <c r="J226" s="159"/>
      <c r="K226" s="159"/>
      <c r="L226" s="159" t="s">
        <v>408</v>
      </c>
      <c r="M226" s="160" t="s">
        <v>650</v>
      </c>
      <c r="N226" s="161"/>
      <c r="O226" s="209">
        <f>24*4870000</f>
        <v>116880000</v>
      </c>
      <c r="P226" s="226"/>
      <c r="Q226" s="165" t="s">
        <v>200</v>
      </c>
    </row>
    <row r="227" spans="1:17" s="182" customFormat="1" ht="60" x14ac:dyDescent="0.2">
      <c r="A227" s="148">
        <v>95</v>
      </c>
      <c r="B227" s="3">
        <v>2.04</v>
      </c>
      <c r="C227" s="172" t="s">
        <v>409</v>
      </c>
      <c r="D227" s="159" t="s">
        <v>410</v>
      </c>
      <c r="E227" s="159" t="s">
        <v>411</v>
      </c>
      <c r="F227" s="159" t="s">
        <v>412</v>
      </c>
      <c r="G227" s="159" t="s">
        <v>49</v>
      </c>
      <c r="H227" s="159" t="s">
        <v>49</v>
      </c>
      <c r="I227" s="159" t="s">
        <v>49</v>
      </c>
      <c r="J227" s="159" t="s">
        <v>49</v>
      </c>
      <c r="K227" s="159" t="s">
        <v>49</v>
      </c>
      <c r="L227" s="159" t="s">
        <v>413</v>
      </c>
      <c r="M227" s="160" t="s">
        <v>651</v>
      </c>
      <c r="N227" s="161"/>
      <c r="O227" s="209">
        <f>5*222*4500000</f>
        <v>4995000000</v>
      </c>
      <c r="P227" s="215"/>
      <c r="Q227" s="165" t="s">
        <v>200</v>
      </c>
    </row>
    <row r="228" spans="1:17" s="182" customFormat="1" ht="45" x14ac:dyDescent="0.2">
      <c r="A228" s="148">
        <v>96</v>
      </c>
      <c r="B228" s="3">
        <v>3.07</v>
      </c>
      <c r="C228" s="160" t="s">
        <v>414</v>
      </c>
      <c r="D228" s="159" t="s">
        <v>415</v>
      </c>
      <c r="E228" s="159" t="s">
        <v>416</v>
      </c>
      <c r="F228" s="159" t="s">
        <v>417</v>
      </c>
      <c r="G228" s="159" t="s">
        <v>49</v>
      </c>
      <c r="H228" s="159" t="s">
        <v>49</v>
      </c>
      <c r="I228" s="159" t="s">
        <v>49</v>
      </c>
      <c r="J228" s="159" t="s">
        <v>49</v>
      </c>
      <c r="K228" s="159" t="s">
        <v>49</v>
      </c>
      <c r="L228" s="159" t="s">
        <v>418</v>
      </c>
      <c r="M228" s="160" t="s">
        <v>419</v>
      </c>
      <c r="N228" s="272"/>
      <c r="O228" s="209">
        <v>1100000</v>
      </c>
      <c r="Q228" s="165" t="s">
        <v>200</v>
      </c>
    </row>
    <row r="229" spans="1:17" s="182" customFormat="1" ht="90" x14ac:dyDescent="0.2">
      <c r="A229" s="148">
        <v>97</v>
      </c>
      <c r="B229" s="3">
        <v>2.0699999999999998</v>
      </c>
      <c r="C229" s="172" t="s">
        <v>367</v>
      </c>
      <c r="D229" s="159" t="s">
        <v>426</v>
      </c>
      <c r="E229" s="159" t="s">
        <v>427</v>
      </c>
      <c r="F229" s="159" t="s">
        <v>428</v>
      </c>
      <c r="G229" s="159" t="s">
        <v>49</v>
      </c>
      <c r="H229" s="159" t="s">
        <v>49</v>
      </c>
      <c r="I229" s="159" t="s">
        <v>49</v>
      </c>
      <c r="J229" s="159" t="s">
        <v>49</v>
      </c>
      <c r="K229" s="159" t="s">
        <v>49</v>
      </c>
      <c r="L229" s="159" t="s">
        <v>429</v>
      </c>
      <c r="M229" s="160" t="s">
        <v>665</v>
      </c>
      <c r="N229" s="161"/>
      <c r="O229" s="209">
        <v>43830000</v>
      </c>
      <c r="Q229" s="165" t="s">
        <v>200</v>
      </c>
    </row>
    <row r="230" spans="1:17" s="182" customFormat="1" ht="75" x14ac:dyDescent="0.2">
      <c r="A230" s="148">
        <v>98</v>
      </c>
      <c r="B230" s="3">
        <v>26.1</v>
      </c>
      <c r="C230" s="172" t="s">
        <v>430</v>
      </c>
      <c r="D230" s="159" t="s">
        <v>431</v>
      </c>
      <c r="E230" s="159" t="s">
        <v>432</v>
      </c>
      <c r="F230" s="159" t="s">
        <v>412</v>
      </c>
      <c r="G230" s="159" t="s">
        <v>49</v>
      </c>
      <c r="H230" s="159" t="s">
        <v>49</v>
      </c>
      <c r="I230" s="159" t="s">
        <v>49</v>
      </c>
      <c r="J230" s="159" t="s">
        <v>49</v>
      </c>
      <c r="K230" s="159" t="s">
        <v>49</v>
      </c>
      <c r="L230" s="159" t="s">
        <v>418</v>
      </c>
      <c r="M230" s="160" t="s">
        <v>433</v>
      </c>
      <c r="N230" s="274"/>
      <c r="O230" s="209">
        <f>42*3000000</f>
        <v>126000000</v>
      </c>
      <c r="P230" s="215"/>
      <c r="Q230" s="159" t="s">
        <v>200</v>
      </c>
    </row>
    <row r="231" spans="1:17" s="182" customFormat="1" ht="45" x14ac:dyDescent="0.2">
      <c r="A231" s="148">
        <v>99</v>
      </c>
      <c r="B231" s="244">
        <v>2.04</v>
      </c>
      <c r="C231" s="172" t="s">
        <v>409</v>
      </c>
      <c r="D231" s="159" t="s">
        <v>456</v>
      </c>
      <c r="E231" s="159" t="s">
        <v>450</v>
      </c>
      <c r="F231" s="159" t="s">
        <v>457</v>
      </c>
      <c r="G231" s="159" t="s">
        <v>49</v>
      </c>
      <c r="H231" s="159" t="s">
        <v>49</v>
      </c>
      <c r="I231" s="159" t="s">
        <v>49</v>
      </c>
      <c r="J231" s="159" t="s">
        <v>49</v>
      </c>
      <c r="K231" s="159" t="s">
        <v>49</v>
      </c>
      <c r="L231" s="245" t="s">
        <v>458</v>
      </c>
      <c r="M231" s="158" t="s">
        <v>459</v>
      </c>
      <c r="N231" s="238"/>
      <c r="O231" s="209">
        <f>1600*2500000</f>
        <v>4000000000</v>
      </c>
      <c r="P231" s="226"/>
      <c r="Q231" s="159" t="s">
        <v>200</v>
      </c>
    </row>
    <row r="232" spans="1:17" s="182" customFormat="1" ht="45" x14ac:dyDescent="0.2">
      <c r="A232" s="148">
        <v>100</v>
      </c>
      <c r="B232" s="244">
        <v>2.0699999999999998</v>
      </c>
      <c r="C232" s="172" t="s">
        <v>367</v>
      </c>
      <c r="D232" s="159" t="s">
        <v>465</v>
      </c>
      <c r="E232" s="159" t="s">
        <v>466</v>
      </c>
      <c r="F232" s="159" t="s">
        <v>462</v>
      </c>
      <c r="G232" s="159" t="s">
        <v>49</v>
      </c>
      <c r="H232" s="159" t="s">
        <v>49</v>
      </c>
      <c r="I232" s="159" t="s">
        <v>49</v>
      </c>
      <c r="J232" s="159" t="s">
        <v>49</v>
      </c>
      <c r="K232" s="159" t="s">
        <v>49</v>
      </c>
      <c r="L232" s="245" t="s">
        <v>467</v>
      </c>
      <c r="M232" s="158" t="s">
        <v>667</v>
      </c>
      <c r="N232" s="238"/>
      <c r="O232" s="209">
        <v>24350000</v>
      </c>
      <c r="Q232" s="159" t="s">
        <v>200</v>
      </c>
    </row>
    <row r="233" spans="1:17" s="182" customFormat="1" ht="30" x14ac:dyDescent="0.2">
      <c r="A233" s="148">
        <v>101</v>
      </c>
      <c r="B233" s="244">
        <v>3.07</v>
      </c>
      <c r="C233" s="160" t="s">
        <v>468</v>
      </c>
      <c r="D233" s="159" t="s">
        <v>469</v>
      </c>
      <c r="E233" s="159" t="s">
        <v>470</v>
      </c>
      <c r="F233" s="159" t="s">
        <v>471</v>
      </c>
      <c r="G233" s="159" t="s">
        <v>49</v>
      </c>
      <c r="H233" s="159" t="s">
        <v>49</v>
      </c>
      <c r="I233" s="159" t="s">
        <v>49</v>
      </c>
      <c r="J233" s="159" t="s">
        <v>49</v>
      </c>
      <c r="K233" s="159" t="s">
        <v>49</v>
      </c>
      <c r="L233" s="245" t="s">
        <v>472</v>
      </c>
      <c r="M233" s="296" t="s">
        <v>419</v>
      </c>
      <c r="N233" s="274"/>
      <c r="O233" s="243">
        <v>1100000</v>
      </c>
      <c r="P233" s="226"/>
      <c r="Q233" s="159" t="s">
        <v>200</v>
      </c>
    </row>
    <row r="234" spans="1:17" s="18" customFormat="1" ht="60" x14ac:dyDescent="0.2">
      <c r="A234" s="148">
        <v>102</v>
      </c>
      <c r="B234" s="218">
        <v>2.02</v>
      </c>
      <c r="C234" s="217" t="s">
        <v>478</v>
      </c>
      <c r="D234" s="218" t="s">
        <v>479</v>
      </c>
      <c r="E234" s="297" t="s">
        <v>680</v>
      </c>
      <c r="F234" s="218" t="s">
        <v>480</v>
      </c>
      <c r="G234" s="218" t="s">
        <v>49</v>
      </c>
      <c r="H234" s="218" t="s">
        <v>49</v>
      </c>
      <c r="I234" s="218" t="s">
        <v>49</v>
      </c>
      <c r="J234" s="218" t="s">
        <v>49</v>
      </c>
      <c r="K234" s="218" t="s">
        <v>49</v>
      </c>
      <c r="L234" s="297" t="s">
        <v>481</v>
      </c>
      <c r="M234" s="219" t="s">
        <v>668</v>
      </c>
      <c r="N234" s="220"/>
      <c r="O234" s="221">
        <f>250*3500000</f>
        <v>875000000</v>
      </c>
      <c r="P234" s="298"/>
      <c r="Q234" s="159" t="s">
        <v>200</v>
      </c>
    </row>
    <row r="235" spans="1:17" s="18" customFormat="1" ht="75" x14ac:dyDescent="0.2">
      <c r="A235" s="148">
        <v>103</v>
      </c>
      <c r="B235" s="171">
        <v>3.05</v>
      </c>
      <c r="C235" s="299" t="s">
        <v>482</v>
      </c>
      <c r="D235" s="171" t="s">
        <v>483</v>
      </c>
      <c r="E235" s="300" t="s">
        <v>484</v>
      </c>
      <c r="F235" s="171" t="s">
        <v>480</v>
      </c>
      <c r="G235" s="171" t="s">
        <v>49</v>
      </c>
      <c r="H235" s="171" t="s">
        <v>49</v>
      </c>
      <c r="I235" s="171" t="s">
        <v>49</v>
      </c>
      <c r="J235" s="171" t="s">
        <v>49</v>
      </c>
      <c r="K235" s="171" t="s">
        <v>49</v>
      </c>
      <c r="L235" s="300" t="s">
        <v>485</v>
      </c>
      <c r="M235" s="299" t="s">
        <v>486</v>
      </c>
      <c r="N235" s="173"/>
      <c r="O235" s="301">
        <v>540000000</v>
      </c>
      <c r="P235" s="302"/>
      <c r="Q235" s="159" t="s">
        <v>200</v>
      </c>
    </row>
    <row r="236" spans="1:17" s="182" customFormat="1" ht="30" x14ac:dyDescent="0.2">
      <c r="A236" s="148">
        <v>104</v>
      </c>
      <c r="B236" s="176" t="s">
        <v>505</v>
      </c>
      <c r="C236" s="153" t="s">
        <v>506</v>
      </c>
      <c r="D236" s="99" t="s">
        <v>507</v>
      </c>
      <c r="E236" s="33" t="s">
        <v>508</v>
      </c>
      <c r="F236" s="33" t="s">
        <v>152</v>
      </c>
      <c r="G236" s="177" t="s">
        <v>49</v>
      </c>
      <c r="H236" s="177" t="s">
        <v>49</v>
      </c>
      <c r="I236" s="177" t="s">
        <v>49</v>
      </c>
      <c r="J236" s="177" t="s">
        <v>49</v>
      </c>
      <c r="K236" s="177" t="s">
        <v>49</v>
      </c>
      <c r="L236" s="33" t="s">
        <v>153</v>
      </c>
      <c r="M236" s="153" t="s">
        <v>509</v>
      </c>
      <c r="N236" s="178"/>
      <c r="O236" s="179">
        <f>50*3000000</f>
        <v>150000000</v>
      </c>
      <c r="P236" s="177"/>
      <c r="Q236" s="159" t="s">
        <v>200</v>
      </c>
    </row>
    <row r="237" spans="1:17" s="182" customFormat="1" ht="60" customHeight="1" x14ac:dyDescent="0.2">
      <c r="A237" s="148">
        <v>105</v>
      </c>
      <c r="B237" s="6" t="s">
        <v>510</v>
      </c>
      <c r="C237" s="172" t="s">
        <v>367</v>
      </c>
      <c r="D237" s="99" t="s">
        <v>511</v>
      </c>
      <c r="E237" s="33" t="s">
        <v>512</v>
      </c>
      <c r="F237" s="33" t="s">
        <v>513</v>
      </c>
      <c r="G237" s="177" t="s">
        <v>49</v>
      </c>
      <c r="H237" s="177" t="s">
        <v>49</v>
      </c>
      <c r="I237" s="177" t="s">
        <v>49</v>
      </c>
      <c r="J237" s="177" t="s">
        <v>49</v>
      </c>
      <c r="K237" s="177" t="s">
        <v>49</v>
      </c>
      <c r="L237" s="33" t="s">
        <v>153</v>
      </c>
      <c r="M237" s="153" t="s">
        <v>514</v>
      </c>
      <c r="N237" s="274"/>
      <c r="O237" s="179">
        <f>3*4870000</f>
        <v>14610000</v>
      </c>
      <c r="P237" s="177"/>
      <c r="Q237" s="253" t="s">
        <v>200</v>
      </c>
    </row>
    <row r="238" spans="1:17" s="41" customFormat="1" ht="45" x14ac:dyDescent="0.2">
      <c r="A238" s="148">
        <v>106</v>
      </c>
      <c r="B238" s="254">
        <v>2.0499999999999998</v>
      </c>
      <c r="C238" s="153" t="s">
        <v>565</v>
      </c>
      <c r="D238" s="19" t="s">
        <v>566</v>
      </c>
      <c r="E238" s="11" t="s">
        <v>681</v>
      </c>
      <c r="F238" s="12" t="s">
        <v>567</v>
      </c>
      <c r="G238" s="290" t="s">
        <v>49</v>
      </c>
      <c r="H238" s="290" t="s">
        <v>49</v>
      </c>
      <c r="I238" s="290" t="s">
        <v>49</v>
      </c>
      <c r="J238" s="290" t="s">
        <v>49</v>
      </c>
      <c r="K238" s="290" t="s">
        <v>49</v>
      </c>
      <c r="L238" s="20" t="s">
        <v>568</v>
      </c>
      <c r="M238" s="20" t="s">
        <v>569</v>
      </c>
      <c r="N238" s="208"/>
      <c r="O238" s="168">
        <v>225000000</v>
      </c>
      <c r="P238" s="303"/>
      <c r="Q238" s="117" t="s">
        <v>200</v>
      </c>
    </row>
    <row r="239" spans="1:17" s="41" customFormat="1" ht="30" x14ac:dyDescent="0.2">
      <c r="A239" s="148">
        <v>107</v>
      </c>
      <c r="B239" s="218">
        <v>26.06</v>
      </c>
      <c r="C239" s="153" t="s">
        <v>518</v>
      </c>
      <c r="D239" s="19" t="s">
        <v>570</v>
      </c>
      <c r="E239" s="11" t="s">
        <v>571</v>
      </c>
      <c r="F239" s="20" t="s">
        <v>572</v>
      </c>
      <c r="G239" s="290" t="s">
        <v>49</v>
      </c>
      <c r="H239" s="290" t="s">
        <v>49</v>
      </c>
      <c r="I239" s="290" t="s">
        <v>49</v>
      </c>
      <c r="J239" s="290" t="s">
        <v>49</v>
      </c>
      <c r="K239" s="290" t="s">
        <v>49</v>
      </c>
      <c r="L239" s="20" t="s">
        <v>572</v>
      </c>
      <c r="M239" s="20" t="s">
        <v>573</v>
      </c>
      <c r="N239" s="208"/>
      <c r="O239" s="15">
        <f>75*3000000</f>
        <v>225000000</v>
      </c>
      <c r="P239" s="303"/>
      <c r="Q239" s="117" t="s">
        <v>200</v>
      </c>
    </row>
    <row r="240" spans="1:17" s="32" customFormat="1" ht="30" x14ac:dyDescent="0.2">
      <c r="A240" s="148">
        <v>108</v>
      </c>
      <c r="B240" s="20" t="s">
        <v>582</v>
      </c>
      <c r="C240" s="21" t="s">
        <v>583</v>
      </c>
      <c r="D240" s="27" t="s">
        <v>584</v>
      </c>
      <c r="E240" s="22" t="s">
        <v>585</v>
      </c>
      <c r="F240" s="28" t="s">
        <v>177</v>
      </c>
      <c r="G240" s="20" t="s">
        <v>563</v>
      </c>
      <c r="H240" s="20" t="s">
        <v>563</v>
      </c>
      <c r="I240" s="20" t="s">
        <v>563</v>
      </c>
      <c r="J240" s="20" t="s">
        <v>563</v>
      </c>
      <c r="K240" s="20" t="s">
        <v>563</v>
      </c>
      <c r="L240" s="20" t="s">
        <v>564</v>
      </c>
      <c r="M240" s="20" t="s">
        <v>586</v>
      </c>
      <c r="N240" s="29"/>
      <c r="O240" s="15">
        <f>(3000000*30)</f>
        <v>90000000</v>
      </c>
      <c r="P240" s="30"/>
      <c r="Q240" s="17" t="s">
        <v>200</v>
      </c>
    </row>
    <row r="241" spans="1:17" s="18" customFormat="1" ht="30" x14ac:dyDescent="0.2">
      <c r="A241" s="148">
        <v>109</v>
      </c>
      <c r="B241" s="20" t="s">
        <v>587</v>
      </c>
      <c r="C241" s="21" t="s">
        <v>583</v>
      </c>
      <c r="D241" s="13" t="s">
        <v>588</v>
      </c>
      <c r="E241" s="13" t="s">
        <v>589</v>
      </c>
      <c r="F241" s="22" t="s">
        <v>590</v>
      </c>
      <c r="G241" s="13" t="s">
        <v>563</v>
      </c>
      <c r="H241" s="13" t="s">
        <v>563</v>
      </c>
      <c r="I241" s="13" t="s">
        <v>563</v>
      </c>
      <c r="J241" s="13" t="s">
        <v>563</v>
      </c>
      <c r="K241" s="13" t="s">
        <v>563</v>
      </c>
      <c r="L241" s="13" t="s">
        <v>572</v>
      </c>
      <c r="M241" s="13" t="s">
        <v>573</v>
      </c>
      <c r="N241" s="14"/>
      <c r="O241" s="16">
        <f>75*3000000</f>
        <v>225000000</v>
      </c>
      <c r="P241" s="70"/>
      <c r="Q241" s="17" t="s">
        <v>200</v>
      </c>
    </row>
    <row r="242" spans="1:17" s="18" customFormat="1" ht="75" x14ac:dyDescent="0.2">
      <c r="A242" s="148">
        <v>110</v>
      </c>
      <c r="B242" s="8">
        <v>1.01</v>
      </c>
      <c r="C242" s="9" t="s">
        <v>597</v>
      </c>
      <c r="D242" s="10" t="s">
        <v>598</v>
      </c>
      <c r="E242" s="37" t="s">
        <v>599</v>
      </c>
      <c r="F242" s="37" t="s">
        <v>600</v>
      </c>
      <c r="G242" s="10" t="s">
        <v>563</v>
      </c>
      <c r="H242" s="10" t="s">
        <v>563</v>
      </c>
      <c r="I242" s="10" t="s">
        <v>563</v>
      </c>
      <c r="J242" s="10" t="s">
        <v>563</v>
      </c>
      <c r="K242" s="10" t="s">
        <v>563</v>
      </c>
      <c r="L242" s="10" t="s">
        <v>601</v>
      </c>
      <c r="M242" s="10" t="s">
        <v>602</v>
      </c>
      <c r="N242" s="38"/>
      <c r="O242" s="69">
        <v>374400000</v>
      </c>
      <c r="P242" s="70"/>
      <c r="Q242" s="17" t="s">
        <v>200</v>
      </c>
    </row>
    <row r="243" spans="1:17" s="18" customFormat="1" ht="45" x14ac:dyDescent="0.2">
      <c r="A243" s="148">
        <v>111</v>
      </c>
      <c r="B243" s="20">
        <v>2.11</v>
      </c>
      <c r="C243" s="21" t="s">
        <v>574</v>
      </c>
      <c r="D243" s="13" t="s">
        <v>575</v>
      </c>
      <c r="E243" s="13" t="s">
        <v>576</v>
      </c>
      <c r="F243" s="22" t="s">
        <v>152</v>
      </c>
      <c r="G243" s="23" t="s">
        <v>563</v>
      </c>
      <c r="H243" s="13" t="s">
        <v>563</v>
      </c>
      <c r="I243" s="13" t="s">
        <v>563</v>
      </c>
      <c r="J243" s="13" t="s">
        <v>563</v>
      </c>
      <c r="K243" s="13" t="s">
        <v>563</v>
      </c>
      <c r="L243" s="13" t="s">
        <v>577</v>
      </c>
      <c r="M243" s="13" t="s">
        <v>401</v>
      </c>
      <c r="N243" s="14"/>
      <c r="O243" s="24">
        <f>2*1300000</f>
        <v>2600000</v>
      </c>
      <c r="Q243" s="25" t="s">
        <v>1419</v>
      </c>
    </row>
    <row r="244" spans="1:17" s="18" customFormat="1" ht="45" x14ac:dyDescent="0.2">
      <c r="A244" s="148">
        <v>112</v>
      </c>
      <c r="B244" s="26">
        <v>9.0972222222222218E-2</v>
      </c>
      <c r="C244" s="172" t="s">
        <v>578</v>
      </c>
      <c r="D244" s="13" t="s">
        <v>575</v>
      </c>
      <c r="E244" s="13" t="s">
        <v>579</v>
      </c>
      <c r="F244" s="22" t="s">
        <v>580</v>
      </c>
      <c r="G244" s="13" t="s">
        <v>563</v>
      </c>
      <c r="H244" s="13" t="s">
        <v>563</v>
      </c>
      <c r="I244" s="13" t="s">
        <v>563</v>
      </c>
      <c r="J244" s="13" t="s">
        <v>563</v>
      </c>
      <c r="K244" s="13" t="s">
        <v>563</v>
      </c>
      <c r="L244" s="13" t="s">
        <v>581</v>
      </c>
      <c r="M244" s="13" t="s">
        <v>401</v>
      </c>
      <c r="N244" s="14"/>
      <c r="O244" s="15">
        <f>2*1300000</f>
        <v>2600000</v>
      </c>
      <c r="P244" s="16"/>
      <c r="Q244" s="25" t="s">
        <v>1419</v>
      </c>
    </row>
    <row r="245" spans="1:17" ht="15.75" customHeight="1" x14ac:dyDescent="0.2">
      <c r="A245" s="304"/>
      <c r="B245" s="304" t="s">
        <v>38</v>
      </c>
      <c r="C245" s="304"/>
      <c r="D245" s="305"/>
      <c r="E245" s="305"/>
      <c r="F245" s="305"/>
      <c r="G245" s="304"/>
      <c r="H245" s="304"/>
      <c r="I245" s="304"/>
      <c r="J245" s="304"/>
      <c r="K245" s="304"/>
      <c r="L245" s="305"/>
      <c r="M245" s="304"/>
      <c r="N245" s="304"/>
      <c r="O245" s="304"/>
      <c r="P245" s="304"/>
      <c r="Q245" s="304"/>
    </row>
    <row r="246" spans="1:17" ht="15.75" customHeight="1" x14ac:dyDescent="0.2">
      <c r="A246" s="853" t="s">
        <v>41</v>
      </c>
      <c r="B246" s="854"/>
      <c r="C246" s="854"/>
      <c r="D246" s="854"/>
      <c r="E246" s="854"/>
      <c r="F246" s="854"/>
      <c r="G246" s="854"/>
      <c r="H246" s="854"/>
      <c r="I246" s="854"/>
      <c r="J246" s="854"/>
      <c r="K246" s="854"/>
      <c r="L246" s="854"/>
      <c r="M246" s="854"/>
      <c r="N246" s="854"/>
      <c r="O246" s="854"/>
      <c r="P246" s="854"/>
      <c r="Q246" s="855"/>
    </row>
    <row r="247" spans="1:17" s="18" customFormat="1" ht="60" x14ac:dyDescent="0.2">
      <c r="A247" s="144">
        <v>1</v>
      </c>
      <c r="B247" s="145">
        <v>13.21</v>
      </c>
      <c r="C247" s="153" t="s">
        <v>684</v>
      </c>
      <c r="D247" s="99" t="s">
        <v>685</v>
      </c>
      <c r="E247" s="99" t="s">
        <v>686</v>
      </c>
      <c r="F247" s="99" t="s">
        <v>687</v>
      </c>
      <c r="G247" s="99"/>
      <c r="H247" s="99"/>
      <c r="I247" s="99"/>
      <c r="J247" s="99" t="s">
        <v>49</v>
      </c>
      <c r="K247" s="99"/>
      <c r="L247" s="99" t="s">
        <v>43</v>
      </c>
      <c r="M247" s="153" t="s">
        <v>688</v>
      </c>
      <c r="N247" s="140">
        <v>6000000</v>
      </c>
      <c r="O247" s="146"/>
      <c r="P247" s="147"/>
      <c r="Q247" s="117"/>
    </row>
    <row r="248" spans="1:17" s="18" customFormat="1" ht="45" x14ac:dyDescent="0.2">
      <c r="A248" s="144">
        <v>2</v>
      </c>
      <c r="B248" s="145">
        <v>13.21</v>
      </c>
      <c r="C248" s="153" t="s">
        <v>684</v>
      </c>
      <c r="D248" s="99" t="s">
        <v>689</v>
      </c>
      <c r="E248" s="99" t="s">
        <v>690</v>
      </c>
      <c r="F248" s="99" t="s">
        <v>209</v>
      </c>
      <c r="G248" s="99"/>
      <c r="H248" s="99"/>
      <c r="I248" s="99"/>
      <c r="J248" s="99" t="s">
        <v>49</v>
      </c>
      <c r="K248" s="99"/>
      <c r="L248" s="99" t="s">
        <v>43</v>
      </c>
      <c r="M248" s="153"/>
      <c r="N248" s="140">
        <v>1000000</v>
      </c>
      <c r="O248" s="146"/>
      <c r="P248" s="147"/>
      <c r="Q248" s="117"/>
    </row>
    <row r="249" spans="1:17" s="18" customFormat="1" ht="45" x14ac:dyDescent="0.2">
      <c r="A249" s="144">
        <v>3</v>
      </c>
      <c r="B249" s="145">
        <v>13.21</v>
      </c>
      <c r="C249" s="153" t="s">
        <v>684</v>
      </c>
      <c r="D249" s="99" t="s">
        <v>691</v>
      </c>
      <c r="E249" s="99" t="s">
        <v>692</v>
      </c>
      <c r="F249" s="99" t="s">
        <v>693</v>
      </c>
      <c r="G249" s="99"/>
      <c r="H249" s="99"/>
      <c r="I249" s="99" t="s">
        <v>49</v>
      </c>
      <c r="J249" s="99" t="s">
        <v>49</v>
      </c>
      <c r="K249" s="99"/>
      <c r="L249" s="99" t="s">
        <v>43</v>
      </c>
      <c r="M249" s="153" t="s">
        <v>688</v>
      </c>
      <c r="N249" s="140">
        <v>6000000</v>
      </c>
      <c r="O249" s="146"/>
      <c r="P249" s="147"/>
      <c r="Q249" s="117"/>
    </row>
    <row r="250" spans="1:17" s="18" customFormat="1" ht="45" x14ac:dyDescent="0.2">
      <c r="A250" s="144">
        <v>5</v>
      </c>
      <c r="B250" s="145">
        <v>13.21</v>
      </c>
      <c r="C250" s="153" t="s">
        <v>684</v>
      </c>
      <c r="D250" s="99" t="s">
        <v>699</v>
      </c>
      <c r="E250" s="99" t="s">
        <v>700</v>
      </c>
      <c r="F250" s="99" t="s">
        <v>701</v>
      </c>
      <c r="G250" s="99"/>
      <c r="H250" s="99"/>
      <c r="I250" s="99" t="s">
        <v>49</v>
      </c>
      <c r="J250" s="99" t="s">
        <v>49</v>
      </c>
      <c r="K250" s="99"/>
      <c r="L250" s="99" t="s">
        <v>43</v>
      </c>
      <c r="M250" s="153" t="s">
        <v>162</v>
      </c>
      <c r="N250" s="140">
        <v>4800000</v>
      </c>
      <c r="O250" s="146"/>
      <c r="P250" s="147"/>
      <c r="Q250" s="117"/>
    </row>
    <row r="251" spans="1:17" s="18" customFormat="1" ht="45" x14ac:dyDescent="0.2">
      <c r="A251" s="144">
        <v>6</v>
      </c>
      <c r="B251" s="145">
        <v>13.21</v>
      </c>
      <c r="C251" s="153" t="s">
        <v>684</v>
      </c>
      <c r="D251" s="99" t="s">
        <v>702</v>
      </c>
      <c r="E251" s="99" t="s">
        <v>703</v>
      </c>
      <c r="F251" s="99" t="s">
        <v>704</v>
      </c>
      <c r="G251" s="99"/>
      <c r="H251" s="99"/>
      <c r="I251" s="99"/>
      <c r="J251" s="99" t="s">
        <v>49</v>
      </c>
      <c r="K251" s="99"/>
      <c r="L251" s="99" t="s">
        <v>43</v>
      </c>
      <c r="M251" s="153" t="s">
        <v>162</v>
      </c>
      <c r="N251" s="140">
        <v>4800000</v>
      </c>
      <c r="O251" s="146"/>
      <c r="P251" s="147"/>
      <c r="Q251" s="117"/>
    </row>
    <row r="252" spans="1:17" s="18" customFormat="1" ht="45" x14ac:dyDescent="0.2">
      <c r="A252" s="144">
        <v>7</v>
      </c>
      <c r="B252" s="145">
        <v>13.21</v>
      </c>
      <c r="C252" s="153" t="s">
        <v>705</v>
      </c>
      <c r="D252" s="99" t="s">
        <v>706</v>
      </c>
      <c r="E252" s="99" t="s">
        <v>707</v>
      </c>
      <c r="F252" s="99" t="s">
        <v>295</v>
      </c>
      <c r="G252" s="99"/>
      <c r="H252" s="99"/>
      <c r="I252" s="99"/>
      <c r="J252" s="99"/>
      <c r="K252" s="99" t="s">
        <v>49</v>
      </c>
      <c r="L252" s="99" t="s">
        <v>43</v>
      </c>
      <c r="M252" s="153" t="s">
        <v>708</v>
      </c>
      <c r="N252" s="140">
        <v>3600000</v>
      </c>
      <c r="O252" s="146"/>
      <c r="P252" s="147"/>
      <c r="Q252" s="117"/>
    </row>
    <row r="253" spans="1:17" s="18" customFormat="1" ht="45" x14ac:dyDescent="0.2">
      <c r="A253" s="144">
        <v>8</v>
      </c>
      <c r="B253" s="145">
        <v>13.21</v>
      </c>
      <c r="C253" s="153" t="s">
        <v>705</v>
      </c>
      <c r="D253" s="99" t="s">
        <v>709</v>
      </c>
      <c r="E253" s="99" t="s">
        <v>707</v>
      </c>
      <c r="F253" s="99" t="s">
        <v>295</v>
      </c>
      <c r="G253" s="99"/>
      <c r="H253" s="99"/>
      <c r="I253" s="99"/>
      <c r="J253" s="99"/>
      <c r="K253" s="99" t="s">
        <v>49</v>
      </c>
      <c r="L253" s="99" t="s">
        <v>43</v>
      </c>
      <c r="M253" s="153" t="s">
        <v>708</v>
      </c>
      <c r="N253" s="140">
        <v>7000000</v>
      </c>
      <c r="O253" s="146"/>
      <c r="P253" s="147"/>
      <c r="Q253" s="117"/>
    </row>
    <row r="254" spans="1:17" s="80" customFormat="1" ht="45" x14ac:dyDescent="0.2">
      <c r="A254" s="144">
        <v>9</v>
      </c>
      <c r="B254" s="145">
        <v>13.21</v>
      </c>
      <c r="C254" s="153" t="s">
        <v>684</v>
      </c>
      <c r="D254" s="99" t="s">
        <v>710</v>
      </c>
      <c r="E254" s="99" t="s">
        <v>711</v>
      </c>
      <c r="F254" s="99"/>
      <c r="G254" s="99" t="s">
        <v>49</v>
      </c>
      <c r="H254" s="99" t="s">
        <v>49</v>
      </c>
      <c r="I254" s="99" t="s">
        <v>49</v>
      </c>
      <c r="J254" s="99" t="s">
        <v>49</v>
      </c>
      <c r="K254" s="99" t="s">
        <v>49</v>
      </c>
      <c r="L254" s="99" t="s">
        <v>43</v>
      </c>
      <c r="M254" s="153" t="s">
        <v>712</v>
      </c>
      <c r="N254" s="140">
        <v>3500000</v>
      </c>
      <c r="O254" s="146"/>
      <c r="P254" s="147"/>
      <c r="Q254" s="117"/>
    </row>
    <row r="255" spans="1:17" s="80" customFormat="1" ht="45" x14ac:dyDescent="0.2">
      <c r="A255" s="144">
        <v>10</v>
      </c>
      <c r="B255" s="145">
        <v>13.21</v>
      </c>
      <c r="C255" s="153" t="s">
        <v>684</v>
      </c>
      <c r="D255" s="99" t="s">
        <v>713</v>
      </c>
      <c r="E255" s="99" t="s">
        <v>714</v>
      </c>
      <c r="F255" s="99" t="s">
        <v>715</v>
      </c>
      <c r="G255" s="99" t="s">
        <v>49</v>
      </c>
      <c r="H255" s="99" t="s">
        <v>49</v>
      </c>
      <c r="I255" s="99" t="s">
        <v>49</v>
      </c>
      <c r="J255" s="99" t="s">
        <v>49</v>
      </c>
      <c r="K255" s="99" t="s">
        <v>49</v>
      </c>
      <c r="L255" s="99" t="s">
        <v>43</v>
      </c>
      <c r="M255" s="153" t="s">
        <v>716</v>
      </c>
      <c r="N255" s="140">
        <v>3600000</v>
      </c>
      <c r="O255" s="146"/>
      <c r="P255" s="147"/>
      <c r="Q255" s="117"/>
    </row>
    <row r="256" spans="1:17" s="80" customFormat="1" ht="45" x14ac:dyDescent="0.2">
      <c r="A256" s="144">
        <v>11</v>
      </c>
      <c r="B256" s="145">
        <v>13.21</v>
      </c>
      <c r="C256" s="153" t="s">
        <v>684</v>
      </c>
      <c r="D256" s="99" t="s">
        <v>717</v>
      </c>
      <c r="E256" s="99" t="s">
        <v>692</v>
      </c>
      <c r="F256" s="99" t="s">
        <v>718</v>
      </c>
      <c r="G256" s="99" t="s">
        <v>49</v>
      </c>
      <c r="H256" s="99" t="s">
        <v>49</v>
      </c>
      <c r="I256" s="99" t="s">
        <v>49</v>
      </c>
      <c r="J256" s="99" t="s">
        <v>49</v>
      </c>
      <c r="K256" s="99" t="s">
        <v>49</v>
      </c>
      <c r="L256" s="99" t="s">
        <v>43</v>
      </c>
      <c r="M256" s="153" t="s">
        <v>719</v>
      </c>
      <c r="N256" s="140">
        <v>3600000</v>
      </c>
      <c r="O256" s="146"/>
      <c r="P256" s="147"/>
      <c r="Q256" s="117"/>
    </row>
    <row r="257" spans="1:17" s="80" customFormat="1" ht="45" x14ac:dyDescent="0.2">
      <c r="A257" s="144">
        <v>12</v>
      </c>
      <c r="B257" s="145">
        <v>13.21</v>
      </c>
      <c r="C257" s="153" t="s">
        <v>705</v>
      </c>
      <c r="D257" s="99" t="s">
        <v>720</v>
      </c>
      <c r="E257" s="99" t="s">
        <v>721</v>
      </c>
      <c r="F257" s="99" t="s">
        <v>722</v>
      </c>
      <c r="G257" s="261"/>
      <c r="H257" s="261"/>
      <c r="I257" s="261"/>
      <c r="J257" s="261"/>
      <c r="K257" s="261"/>
      <c r="L257" s="99" t="s">
        <v>43</v>
      </c>
      <c r="M257" s="153" t="s">
        <v>719</v>
      </c>
      <c r="N257" s="140">
        <v>3600000</v>
      </c>
      <c r="O257" s="155"/>
      <c r="P257" s="156"/>
      <c r="Q257" s="117"/>
    </row>
    <row r="258" spans="1:17" s="80" customFormat="1" ht="45" x14ac:dyDescent="0.2">
      <c r="A258" s="144">
        <v>13</v>
      </c>
      <c r="B258" s="145">
        <v>13.21</v>
      </c>
      <c r="C258" s="153" t="s">
        <v>705</v>
      </c>
      <c r="D258" s="99" t="s">
        <v>723</v>
      </c>
      <c r="E258" s="99" t="s">
        <v>724</v>
      </c>
      <c r="F258" s="261"/>
      <c r="G258" s="261"/>
      <c r="H258" s="261"/>
      <c r="I258" s="261"/>
      <c r="J258" s="261"/>
      <c r="K258" s="261"/>
      <c r="L258" s="99" t="s">
        <v>43</v>
      </c>
      <c r="M258" s="153" t="s">
        <v>725</v>
      </c>
      <c r="N258" s="140">
        <v>3600000</v>
      </c>
      <c r="O258" s="155"/>
      <c r="P258" s="156"/>
      <c r="Q258" s="117"/>
    </row>
    <row r="259" spans="1:17" s="80" customFormat="1" ht="45" x14ac:dyDescent="0.2">
      <c r="A259" s="144">
        <v>14</v>
      </c>
      <c r="B259" s="145">
        <v>13.21</v>
      </c>
      <c r="C259" s="153" t="s">
        <v>705</v>
      </c>
      <c r="D259" s="99" t="s">
        <v>726</v>
      </c>
      <c r="E259" s="99" t="s">
        <v>727</v>
      </c>
      <c r="F259" s="261"/>
      <c r="G259" s="261"/>
      <c r="H259" s="261"/>
      <c r="I259" s="261"/>
      <c r="J259" s="261"/>
      <c r="K259" s="261"/>
      <c r="L259" s="99" t="s">
        <v>43</v>
      </c>
      <c r="M259" s="153" t="s">
        <v>725</v>
      </c>
      <c r="N259" s="140">
        <v>3600000</v>
      </c>
      <c r="O259" s="155"/>
      <c r="P259" s="156"/>
      <c r="Q259" s="117"/>
    </row>
    <row r="260" spans="1:17" s="80" customFormat="1" ht="45" x14ac:dyDescent="0.2">
      <c r="A260" s="144">
        <v>15</v>
      </c>
      <c r="B260" s="145">
        <v>13.21</v>
      </c>
      <c r="C260" s="153" t="s">
        <v>705</v>
      </c>
      <c r="D260" s="99" t="s">
        <v>728</v>
      </c>
      <c r="E260" s="99" t="s">
        <v>729</v>
      </c>
      <c r="F260" s="261"/>
      <c r="G260" s="261"/>
      <c r="H260" s="261"/>
      <c r="I260" s="261"/>
      <c r="J260" s="261"/>
      <c r="K260" s="261"/>
      <c r="L260" s="99" t="s">
        <v>43</v>
      </c>
      <c r="M260" s="153" t="s">
        <v>730</v>
      </c>
      <c r="N260" s="140">
        <v>3600000</v>
      </c>
      <c r="O260" s="155"/>
      <c r="P260" s="156"/>
      <c r="Q260" s="117"/>
    </row>
    <row r="261" spans="1:17" s="80" customFormat="1" ht="45" x14ac:dyDescent="0.2">
      <c r="A261" s="144">
        <v>16</v>
      </c>
      <c r="B261" s="145">
        <v>13.21</v>
      </c>
      <c r="C261" s="153" t="s">
        <v>684</v>
      </c>
      <c r="D261" s="99" t="s">
        <v>731</v>
      </c>
      <c r="E261" s="253" t="s">
        <v>732</v>
      </c>
      <c r="F261" s="99" t="s">
        <v>733</v>
      </c>
      <c r="G261" s="99" t="s">
        <v>49</v>
      </c>
      <c r="H261" s="99" t="s">
        <v>49</v>
      </c>
      <c r="I261" s="99" t="s">
        <v>49</v>
      </c>
      <c r="J261" s="99" t="s">
        <v>49</v>
      </c>
      <c r="K261" s="99"/>
      <c r="L261" s="99" t="s">
        <v>43</v>
      </c>
      <c r="M261" s="153" t="s">
        <v>734</v>
      </c>
      <c r="N261" s="140">
        <f>25*6*20000</f>
        <v>3000000</v>
      </c>
      <c r="O261" s="146"/>
      <c r="P261" s="147"/>
      <c r="Q261" s="117"/>
    </row>
    <row r="262" spans="1:17" s="80" customFormat="1" ht="45" x14ac:dyDescent="0.2">
      <c r="A262" s="144">
        <v>17</v>
      </c>
      <c r="B262" s="145">
        <v>13.21</v>
      </c>
      <c r="C262" s="153" t="s">
        <v>684</v>
      </c>
      <c r="D262" s="99" t="s">
        <v>735</v>
      </c>
      <c r="E262" s="99" t="s">
        <v>736</v>
      </c>
      <c r="F262" s="99" t="s">
        <v>737</v>
      </c>
      <c r="G262" s="99" t="s">
        <v>49</v>
      </c>
      <c r="H262" s="99"/>
      <c r="I262" s="99"/>
      <c r="J262" s="99" t="s">
        <v>49</v>
      </c>
      <c r="K262" s="99" t="s">
        <v>49</v>
      </c>
      <c r="L262" s="99" t="s">
        <v>43</v>
      </c>
      <c r="M262" s="153" t="s">
        <v>738</v>
      </c>
      <c r="N262" s="140">
        <f>36*6*20000</f>
        <v>4320000</v>
      </c>
      <c r="O262" s="146"/>
      <c r="P262" s="147"/>
      <c r="Q262" s="117"/>
    </row>
    <row r="263" spans="1:17" s="80" customFormat="1" ht="45" x14ac:dyDescent="0.2">
      <c r="A263" s="144">
        <v>18</v>
      </c>
      <c r="B263" s="145">
        <v>13.21</v>
      </c>
      <c r="C263" s="153" t="s">
        <v>684</v>
      </c>
      <c r="D263" s="99" t="s">
        <v>739</v>
      </c>
      <c r="E263" s="99" t="s">
        <v>740</v>
      </c>
      <c r="F263" s="99" t="s">
        <v>741</v>
      </c>
      <c r="G263" s="99" t="s">
        <v>49</v>
      </c>
      <c r="H263" s="99"/>
      <c r="I263" s="99" t="s">
        <v>49</v>
      </c>
      <c r="J263" s="99" t="s">
        <v>49</v>
      </c>
      <c r="K263" s="99" t="s">
        <v>49</v>
      </c>
      <c r="L263" s="99" t="s">
        <v>43</v>
      </c>
      <c r="M263" s="153" t="s">
        <v>742</v>
      </c>
      <c r="N263" s="140">
        <f>40*4*20000</f>
        <v>3200000</v>
      </c>
      <c r="O263" s="146"/>
      <c r="P263" s="147"/>
      <c r="Q263" s="117"/>
    </row>
    <row r="264" spans="1:17" s="80" customFormat="1" ht="45" x14ac:dyDescent="0.2">
      <c r="A264" s="144">
        <v>19</v>
      </c>
      <c r="B264" s="145">
        <v>13.21</v>
      </c>
      <c r="C264" s="153" t="s">
        <v>684</v>
      </c>
      <c r="D264" s="99" t="s">
        <v>743</v>
      </c>
      <c r="E264" s="99" t="s">
        <v>740</v>
      </c>
      <c r="F264" s="99" t="s">
        <v>744</v>
      </c>
      <c r="G264" s="99" t="s">
        <v>49</v>
      </c>
      <c r="H264" s="99"/>
      <c r="I264" s="99" t="s">
        <v>49</v>
      </c>
      <c r="J264" s="99" t="s">
        <v>49</v>
      </c>
      <c r="K264" s="99" t="s">
        <v>49</v>
      </c>
      <c r="L264" s="99" t="s">
        <v>43</v>
      </c>
      <c r="M264" s="153" t="s">
        <v>742</v>
      </c>
      <c r="N264" s="140">
        <f>40*4*20000</f>
        <v>3200000</v>
      </c>
      <c r="O264" s="146"/>
      <c r="P264" s="147"/>
      <c r="Q264" s="117"/>
    </row>
    <row r="265" spans="1:17" s="80" customFormat="1" ht="45" x14ac:dyDescent="0.2">
      <c r="A265" s="144">
        <v>20</v>
      </c>
      <c r="B265" s="145">
        <v>13.21</v>
      </c>
      <c r="C265" s="153" t="s">
        <v>684</v>
      </c>
      <c r="D265" s="99" t="s">
        <v>745</v>
      </c>
      <c r="E265" s="99" t="s">
        <v>746</v>
      </c>
      <c r="F265" s="99" t="s">
        <v>747</v>
      </c>
      <c r="G265" s="99"/>
      <c r="H265" s="99"/>
      <c r="I265" s="99"/>
      <c r="J265" s="99" t="s">
        <v>49</v>
      </c>
      <c r="K265" s="99"/>
      <c r="L265" s="99" t="s">
        <v>43</v>
      </c>
      <c r="M265" s="153" t="s">
        <v>748</v>
      </c>
      <c r="N265" s="140">
        <v>27021132</v>
      </c>
      <c r="O265" s="146"/>
      <c r="P265" s="147"/>
      <c r="Q265" s="117"/>
    </row>
    <row r="266" spans="1:17" s="80" customFormat="1" ht="45" x14ac:dyDescent="0.2">
      <c r="A266" s="144">
        <v>21</v>
      </c>
      <c r="B266" s="145">
        <v>13.21</v>
      </c>
      <c r="C266" s="153" t="s">
        <v>684</v>
      </c>
      <c r="D266" s="99" t="s">
        <v>749</v>
      </c>
      <c r="E266" s="99" t="s">
        <v>750</v>
      </c>
      <c r="F266" s="99" t="s">
        <v>751</v>
      </c>
      <c r="G266" s="99" t="s">
        <v>49</v>
      </c>
      <c r="H266" s="99"/>
      <c r="I266" s="99" t="s">
        <v>49</v>
      </c>
      <c r="J266" s="99" t="s">
        <v>49</v>
      </c>
      <c r="K266" s="99" t="s">
        <v>49</v>
      </c>
      <c r="L266" s="99" t="s">
        <v>43</v>
      </c>
      <c r="M266" s="153" t="s">
        <v>752</v>
      </c>
      <c r="N266" s="140">
        <v>20160000</v>
      </c>
      <c r="O266" s="146"/>
      <c r="P266" s="147"/>
      <c r="Q266" s="117"/>
    </row>
    <row r="267" spans="1:17" s="307" customFormat="1" ht="45" x14ac:dyDescent="0.2">
      <c r="A267" s="144">
        <v>22</v>
      </c>
      <c r="B267" s="306">
        <v>13.21</v>
      </c>
      <c r="C267" s="153" t="s">
        <v>684</v>
      </c>
      <c r="D267" s="137" t="s">
        <v>753</v>
      </c>
      <c r="E267" s="137" t="s">
        <v>754</v>
      </c>
      <c r="F267" s="137" t="s">
        <v>755</v>
      </c>
      <c r="G267" s="137" t="s">
        <v>49</v>
      </c>
      <c r="H267" s="137" t="s">
        <v>49</v>
      </c>
      <c r="I267" s="137" t="s">
        <v>49</v>
      </c>
      <c r="J267" s="137" t="s">
        <v>49</v>
      </c>
      <c r="K267" s="137" t="s">
        <v>49</v>
      </c>
      <c r="L267" s="137" t="s">
        <v>43</v>
      </c>
      <c r="M267" s="257" t="s">
        <v>756</v>
      </c>
      <c r="N267" s="140">
        <f>67*20000</f>
        <v>1340000</v>
      </c>
      <c r="O267" s="146"/>
      <c r="P267" s="290"/>
      <c r="Q267" s="117"/>
    </row>
    <row r="268" spans="1:17" s="312" customFormat="1" ht="45" x14ac:dyDescent="0.2">
      <c r="A268" s="144">
        <v>23</v>
      </c>
      <c r="B268" s="306">
        <v>13.21</v>
      </c>
      <c r="C268" s="153" t="s">
        <v>684</v>
      </c>
      <c r="D268" s="137" t="s">
        <v>757</v>
      </c>
      <c r="E268" s="257" t="s">
        <v>758</v>
      </c>
      <c r="F268" s="257" t="s">
        <v>759</v>
      </c>
      <c r="G268" s="257" t="s">
        <v>49</v>
      </c>
      <c r="H268" s="257" t="s">
        <v>49</v>
      </c>
      <c r="I268" s="257" t="s">
        <v>49</v>
      </c>
      <c r="J268" s="257" t="s">
        <v>49</v>
      </c>
      <c r="K268" s="308"/>
      <c r="L268" s="257" t="s">
        <v>43</v>
      </c>
      <c r="M268" s="257" t="s">
        <v>760</v>
      </c>
      <c r="N268" s="309">
        <v>945000</v>
      </c>
      <c r="O268" s="310"/>
      <c r="P268" s="311"/>
      <c r="Q268" s="117"/>
    </row>
    <row r="269" spans="1:17" s="312" customFormat="1" ht="60" x14ac:dyDescent="0.2">
      <c r="A269" s="144">
        <v>24</v>
      </c>
      <c r="B269" s="306">
        <v>13.21</v>
      </c>
      <c r="C269" s="153" t="s">
        <v>684</v>
      </c>
      <c r="D269" s="137" t="s">
        <v>761</v>
      </c>
      <c r="E269" s="257" t="s">
        <v>762</v>
      </c>
      <c r="F269" s="257" t="s">
        <v>763</v>
      </c>
      <c r="G269" s="257" t="s">
        <v>49</v>
      </c>
      <c r="H269" s="257" t="s">
        <v>49</v>
      </c>
      <c r="I269" s="257" t="s">
        <v>49</v>
      </c>
      <c r="J269" s="257" t="s">
        <v>49</v>
      </c>
      <c r="K269" s="308"/>
      <c r="L269" s="257" t="s">
        <v>43</v>
      </c>
      <c r="M269" s="257" t="s">
        <v>764</v>
      </c>
      <c r="N269" s="313">
        <v>1560000</v>
      </c>
      <c r="O269" s="310"/>
      <c r="P269" s="311"/>
      <c r="Q269" s="117"/>
    </row>
    <row r="270" spans="1:17" s="312" customFormat="1" ht="45" x14ac:dyDescent="0.2">
      <c r="A270" s="144">
        <v>26</v>
      </c>
      <c r="B270" s="306">
        <v>13.21</v>
      </c>
      <c r="C270" s="262" t="s">
        <v>684</v>
      </c>
      <c r="D270" s="279" t="s">
        <v>765</v>
      </c>
      <c r="E270" s="28" t="s">
        <v>766</v>
      </c>
      <c r="F270" s="28" t="s">
        <v>767</v>
      </c>
      <c r="G270" s="28" t="s">
        <v>49</v>
      </c>
      <c r="H270" s="28" t="s">
        <v>49</v>
      </c>
      <c r="I270" s="28"/>
      <c r="J270" s="28" t="s">
        <v>49</v>
      </c>
      <c r="K270" s="314" t="s">
        <v>49</v>
      </c>
      <c r="L270" s="28" t="s">
        <v>43</v>
      </c>
      <c r="M270" s="28" t="s">
        <v>768</v>
      </c>
      <c r="N270" s="315">
        <v>2300000</v>
      </c>
      <c r="O270" s="316"/>
      <c r="P270" s="317"/>
      <c r="Q270" s="117"/>
    </row>
    <row r="271" spans="1:17" s="312" customFormat="1" ht="45" x14ac:dyDescent="0.2">
      <c r="A271" s="144">
        <v>27</v>
      </c>
      <c r="B271" s="306">
        <v>13.21</v>
      </c>
      <c r="C271" s="262" t="s">
        <v>684</v>
      </c>
      <c r="D271" s="279" t="s">
        <v>769</v>
      </c>
      <c r="E271" s="28" t="s">
        <v>770</v>
      </c>
      <c r="F271" s="28" t="s">
        <v>771</v>
      </c>
      <c r="G271" s="28" t="s">
        <v>49</v>
      </c>
      <c r="H271" s="28" t="s">
        <v>49</v>
      </c>
      <c r="I271" s="28"/>
      <c r="J271" s="28" t="s">
        <v>49</v>
      </c>
      <c r="K271" s="314" t="s">
        <v>49</v>
      </c>
      <c r="L271" s="28" t="s">
        <v>43</v>
      </c>
      <c r="M271" s="28" t="s">
        <v>768</v>
      </c>
      <c r="N271" s="315">
        <v>900000</v>
      </c>
      <c r="O271" s="316"/>
      <c r="P271" s="317"/>
      <c r="Q271" s="117"/>
    </row>
    <row r="272" spans="1:17" s="312" customFormat="1" ht="45" x14ac:dyDescent="0.2">
      <c r="A272" s="318">
        <v>28</v>
      </c>
      <c r="B272" s="319">
        <v>13.21</v>
      </c>
      <c r="C272" s="320" t="s">
        <v>684</v>
      </c>
      <c r="D272" s="321" t="s">
        <v>772</v>
      </c>
      <c r="E272" s="322" t="s">
        <v>773</v>
      </c>
      <c r="F272" s="322" t="s">
        <v>771</v>
      </c>
      <c r="G272" s="322" t="s">
        <v>49</v>
      </c>
      <c r="H272" s="322" t="s">
        <v>49</v>
      </c>
      <c r="I272" s="322"/>
      <c r="J272" s="322" t="s">
        <v>49</v>
      </c>
      <c r="K272" s="323" t="s">
        <v>49</v>
      </c>
      <c r="L272" s="322" t="s">
        <v>43</v>
      </c>
      <c r="M272" s="322" t="s">
        <v>210</v>
      </c>
      <c r="N272" s="324">
        <v>1250000</v>
      </c>
      <c r="O272" s="325"/>
      <c r="P272" s="326"/>
      <c r="Q272" s="117"/>
    </row>
    <row r="273" spans="1:17" s="80" customFormat="1" ht="60" x14ac:dyDescent="0.2">
      <c r="A273" s="327">
        <v>29</v>
      </c>
      <c r="B273" s="328">
        <v>13.21</v>
      </c>
      <c r="C273" s="137" t="s">
        <v>684</v>
      </c>
      <c r="D273" s="153" t="s">
        <v>774</v>
      </c>
      <c r="E273" s="153" t="s">
        <v>775</v>
      </c>
      <c r="F273" s="99" t="s">
        <v>776</v>
      </c>
      <c r="G273" s="99" t="s">
        <v>49</v>
      </c>
      <c r="H273" s="99"/>
      <c r="I273" s="99" t="s">
        <v>49</v>
      </c>
      <c r="J273" s="99" t="s">
        <v>49</v>
      </c>
      <c r="K273" s="99" t="s">
        <v>49</v>
      </c>
      <c r="L273" s="99" t="s">
        <v>43</v>
      </c>
      <c r="M273" s="99" t="s">
        <v>777</v>
      </c>
      <c r="N273" s="140"/>
      <c r="O273" s="146"/>
      <c r="P273" s="99"/>
      <c r="Q273" s="137" t="s">
        <v>52</v>
      </c>
    </row>
    <row r="274" spans="1:17" s="18" customFormat="1" ht="60" x14ac:dyDescent="0.2">
      <c r="A274" s="144">
        <v>4</v>
      </c>
      <c r="B274" s="145">
        <v>16.059999999999999</v>
      </c>
      <c r="C274" s="153" t="s">
        <v>694</v>
      </c>
      <c r="D274" s="99" t="s">
        <v>695</v>
      </c>
      <c r="E274" s="99" t="s">
        <v>696</v>
      </c>
      <c r="F274" s="99" t="s">
        <v>697</v>
      </c>
      <c r="G274" s="99"/>
      <c r="H274" s="99"/>
      <c r="I274" s="99"/>
      <c r="J274" s="99" t="s">
        <v>49</v>
      </c>
      <c r="K274" s="99"/>
      <c r="L274" s="99" t="s">
        <v>43</v>
      </c>
      <c r="M274" s="153" t="s">
        <v>698</v>
      </c>
      <c r="N274" s="140"/>
      <c r="O274" s="146">
        <v>20000000</v>
      </c>
      <c r="P274" s="147"/>
      <c r="Q274" s="329" t="s">
        <v>169</v>
      </c>
    </row>
    <row r="275" spans="1:17" s="80" customFormat="1" x14ac:dyDescent="0.2">
      <c r="A275" s="330"/>
      <c r="B275" s="331"/>
      <c r="C275" s="332"/>
      <c r="D275" s="333"/>
      <c r="E275" s="333"/>
      <c r="F275" s="333"/>
      <c r="G275" s="333"/>
      <c r="H275" s="333"/>
      <c r="I275" s="333"/>
      <c r="J275" s="333"/>
      <c r="K275" s="333"/>
      <c r="L275" s="333"/>
      <c r="M275" s="332" t="s">
        <v>778</v>
      </c>
      <c r="N275" s="334">
        <f>SUM(N109:N273)</f>
        <v>717971132</v>
      </c>
      <c r="O275" s="335">
        <f>SUM(O109:O272)</f>
        <v>14652155000</v>
      </c>
      <c r="P275" s="336"/>
      <c r="Q275" s="117"/>
    </row>
    <row r="276" spans="1:17" s="80" customFormat="1" x14ac:dyDescent="0.2">
      <c r="A276" s="337"/>
      <c r="B276" s="210"/>
      <c r="C276" s="338"/>
      <c r="D276" s="339"/>
      <c r="E276" s="339"/>
      <c r="F276" s="339"/>
      <c r="G276" s="339"/>
      <c r="H276" s="339"/>
      <c r="I276" s="339"/>
      <c r="J276" s="339"/>
      <c r="K276" s="339"/>
      <c r="L276" s="339"/>
      <c r="M276" s="338"/>
      <c r="N276" s="340"/>
      <c r="O276" s="341"/>
      <c r="P276" s="339"/>
      <c r="Q276" s="339"/>
    </row>
    <row r="277" spans="1:17" s="342" customFormat="1" ht="15.75" customHeight="1" x14ac:dyDescent="0.25">
      <c r="A277" s="833" t="s">
        <v>2363</v>
      </c>
      <c r="B277" s="834"/>
      <c r="C277" s="834"/>
      <c r="D277" s="834"/>
      <c r="E277" s="834"/>
      <c r="F277" s="834"/>
      <c r="G277" s="834"/>
      <c r="H277" s="834"/>
      <c r="I277" s="834"/>
      <c r="J277" s="834"/>
      <c r="K277" s="834"/>
      <c r="L277" s="834"/>
      <c r="M277" s="834"/>
      <c r="N277" s="834"/>
      <c r="O277" s="834"/>
      <c r="P277" s="834"/>
      <c r="Q277" s="834"/>
    </row>
    <row r="278" spans="1:17" s="342" customFormat="1" ht="47.25" customHeight="1" x14ac:dyDescent="0.2">
      <c r="A278" s="851" t="s">
        <v>0</v>
      </c>
      <c r="B278" s="858" t="s">
        <v>1</v>
      </c>
      <c r="C278" s="848" t="s">
        <v>2</v>
      </c>
      <c r="D278" s="848" t="s">
        <v>3</v>
      </c>
      <c r="E278" s="851" t="s">
        <v>4</v>
      </c>
      <c r="F278" s="851" t="s">
        <v>10</v>
      </c>
      <c r="G278" s="343" t="s">
        <v>11</v>
      </c>
      <c r="H278" s="343" t="s">
        <v>12</v>
      </c>
      <c r="I278" s="343" t="s">
        <v>13</v>
      </c>
      <c r="J278" s="343" t="s">
        <v>14</v>
      </c>
      <c r="K278" s="343" t="s">
        <v>15</v>
      </c>
      <c r="L278" s="848" t="s">
        <v>6</v>
      </c>
      <c r="M278" s="848" t="s">
        <v>7</v>
      </c>
      <c r="N278" s="856" t="s">
        <v>16</v>
      </c>
      <c r="O278" s="856" t="s">
        <v>17</v>
      </c>
      <c r="P278" s="856" t="s">
        <v>18</v>
      </c>
      <c r="Q278" s="851" t="s">
        <v>9</v>
      </c>
    </row>
    <row r="279" spans="1:17" ht="23.25" customHeight="1" x14ac:dyDescent="0.2">
      <c r="A279" s="849"/>
      <c r="B279" s="849"/>
      <c r="C279" s="849"/>
      <c r="D279" s="849"/>
      <c r="E279" s="849"/>
      <c r="F279" s="850"/>
      <c r="G279" s="857" t="s">
        <v>19</v>
      </c>
      <c r="H279" s="854"/>
      <c r="I279" s="854"/>
      <c r="J279" s="854"/>
      <c r="K279" s="855"/>
      <c r="L279" s="849"/>
      <c r="M279" s="849"/>
      <c r="N279" s="850"/>
      <c r="O279" s="850"/>
      <c r="P279" s="850"/>
      <c r="Q279" s="849"/>
    </row>
    <row r="280" spans="1:17" ht="20.25" customHeight="1" x14ac:dyDescent="0.2">
      <c r="A280" s="850"/>
      <c r="B280" s="850"/>
      <c r="C280" s="850"/>
      <c r="D280" s="850"/>
      <c r="E280" s="850"/>
      <c r="F280" s="94" t="s">
        <v>25</v>
      </c>
      <c r="G280" s="94" t="s">
        <v>26</v>
      </c>
      <c r="H280" s="94" t="s">
        <v>27</v>
      </c>
      <c r="I280" s="94" t="s">
        <v>28</v>
      </c>
      <c r="J280" s="94" t="s">
        <v>29</v>
      </c>
      <c r="K280" s="94" t="s">
        <v>30</v>
      </c>
      <c r="L280" s="850"/>
      <c r="M280" s="850"/>
      <c r="N280" s="94" t="s">
        <v>33</v>
      </c>
      <c r="O280" s="94" t="s">
        <v>34</v>
      </c>
      <c r="P280" s="94" t="s">
        <v>35</v>
      </c>
      <c r="Q280" s="850"/>
    </row>
    <row r="281" spans="1:17" ht="15.75" customHeight="1" x14ac:dyDescent="0.2">
      <c r="A281" s="853" t="s">
        <v>37</v>
      </c>
      <c r="B281" s="854"/>
      <c r="C281" s="854"/>
      <c r="D281" s="854"/>
      <c r="E281" s="854"/>
      <c r="F281" s="854"/>
      <c r="G281" s="854"/>
      <c r="H281" s="854"/>
      <c r="I281" s="854"/>
      <c r="J281" s="854"/>
      <c r="K281" s="854"/>
      <c r="L281" s="854"/>
      <c r="M281" s="854"/>
      <c r="N281" s="854"/>
      <c r="O281" s="854"/>
      <c r="P281" s="854"/>
      <c r="Q281" s="855"/>
    </row>
    <row r="282" spans="1:17" ht="15" customHeight="1" x14ac:dyDescent="0.2">
      <c r="A282" s="344"/>
      <c r="B282" s="840" t="s">
        <v>782</v>
      </c>
      <c r="C282" s="854"/>
      <c r="D282" s="854"/>
      <c r="E282" s="855"/>
      <c r="F282" s="345"/>
      <c r="G282" s="345"/>
      <c r="H282" s="345"/>
      <c r="I282" s="345"/>
      <c r="J282" s="345"/>
      <c r="K282" s="345"/>
      <c r="L282" s="345"/>
      <c r="M282" s="345"/>
      <c r="N282" s="345"/>
      <c r="O282" s="345"/>
      <c r="P282" s="345"/>
      <c r="Q282" s="346"/>
    </row>
    <row r="283" spans="1:17" ht="45" x14ac:dyDescent="0.2">
      <c r="A283" s="304">
        <v>1</v>
      </c>
      <c r="B283" s="347" t="s">
        <v>44</v>
      </c>
      <c r="C283" s="67" t="s">
        <v>783</v>
      </c>
      <c r="D283" s="43" t="s">
        <v>784</v>
      </c>
      <c r="E283" s="44" t="s">
        <v>786</v>
      </c>
      <c r="F283" s="45" t="s">
        <v>787</v>
      </c>
      <c r="G283" s="46" t="s">
        <v>563</v>
      </c>
      <c r="H283" s="46" t="s">
        <v>563</v>
      </c>
      <c r="I283" s="46" t="s">
        <v>563</v>
      </c>
      <c r="J283" s="46" t="s">
        <v>563</v>
      </c>
      <c r="K283" s="46" t="s">
        <v>563</v>
      </c>
      <c r="L283" s="47" t="s">
        <v>138</v>
      </c>
      <c r="M283" s="348" t="s">
        <v>788</v>
      </c>
      <c r="N283" s="48">
        <v>200000000</v>
      </c>
      <c r="O283" s="48"/>
      <c r="P283" s="304"/>
      <c r="Q283" s="149"/>
    </row>
    <row r="284" spans="1:17" ht="15.75" customHeight="1" x14ac:dyDescent="0.2">
      <c r="A284" s="304"/>
      <c r="B284" s="304"/>
      <c r="C284" s="304"/>
      <c r="D284" s="304"/>
      <c r="E284" s="304"/>
      <c r="F284" s="304"/>
      <c r="G284" s="304"/>
      <c r="H284" s="304"/>
      <c r="I284" s="304"/>
      <c r="J284" s="304"/>
      <c r="K284" s="304"/>
      <c r="L284" s="305"/>
      <c r="M284" s="304"/>
      <c r="N284" s="304"/>
      <c r="O284" s="304"/>
      <c r="P284" s="304"/>
      <c r="Q284" s="304"/>
    </row>
    <row r="285" spans="1:17" s="80" customFormat="1" x14ac:dyDescent="0.2">
      <c r="A285" s="835" t="s">
        <v>39</v>
      </c>
      <c r="B285" s="829"/>
      <c r="C285" s="829"/>
      <c r="D285" s="829"/>
      <c r="E285" s="829"/>
      <c r="F285" s="829"/>
      <c r="G285" s="829"/>
      <c r="H285" s="829"/>
      <c r="I285" s="829"/>
      <c r="J285" s="829"/>
      <c r="K285" s="829"/>
      <c r="L285" s="829"/>
      <c r="M285" s="829"/>
      <c r="N285" s="829"/>
      <c r="O285" s="829"/>
      <c r="P285" s="829"/>
      <c r="Q285" s="830"/>
    </row>
    <row r="286" spans="1:17" s="80" customFormat="1" ht="30" x14ac:dyDescent="0.2">
      <c r="A286" s="49">
        <v>1</v>
      </c>
      <c r="B286" s="66" t="s">
        <v>789</v>
      </c>
      <c r="C286" s="349" t="s">
        <v>856</v>
      </c>
      <c r="D286" s="350" t="s">
        <v>790</v>
      </c>
      <c r="E286" s="44" t="s">
        <v>791</v>
      </c>
      <c r="F286" s="44" t="s">
        <v>857</v>
      </c>
      <c r="G286" s="44" t="s">
        <v>563</v>
      </c>
      <c r="H286" s="44" t="s">
        <v>563</v>
      </c>
      <c r="I286" s="44" t="s">
        <v>563</v>
      </c>
      <c r="J286" s="44" t="s">
        <v>563</v>
      </c>
      <c r="K286" s="44" t="s">
        <v>563</v>
      </c>
      <c r="L286" s="44" t="s">
        <v>781</v>
      </c>
      <c r="M286" s="50" t="s">
        <v>792</v>
      </c>
      <c r="N286" s="51">
        <v>18000000</v>
      </c>
      <c r="O286" s="50"/>
      <c r="P286" s="51"/>
      <c r="Q286" s="149"/>
    </row>
    <row r="287" spans="1:17" s="80" customFormat="1" ht="30" x14ac:dyDescent="0.2">
      <c r="A287" s="49">
        <v>2</v>
      </c>
      <c r="B287" s="49" t="s">
        <v>795</v>
      </c>
      <c r="C287" s="52" t="s">
        <v>796</v>
      </c>
      <c r="D287" s="350" t="s">
        <v>797</v>
      </c>
      <c r="E287" s="44" t="s">
        <v>798</v>
      </c>
      <c r="F287" s="44" t="s">
        <v>799</v>
      </c>
      <c r="G287" s="44" t="s">
        <v>563</v>
      </c>
      <c r="H287" s="44" t="s">
        <v>563</v>
      </c>
      <c r="I287" s="44" t="s">
        <v>563</v>
      </c>
      <c r="J287" s="44" t="s">
        <v>563</v>
      </c>
      <c r="K287" s="44" t="s">
        <v>563</v>
      </c>
      <c r="L287" s="44" t="s">
        <v>781</v>
      </c>
      <c r="M287" s="44" t="s">
        <v>800</v>
      </c>
      <c r="N287" s="51">
        <v>8500000</v>
      </c>
      <c r="O287" s="44"/>
      <c r="P287" s="51"/>
      <c r="Q287" s="149"/>
    </row>
    <row r="288" spans="1:17" s="80" customFormat="1" ht="45" x14ac:dyDescent="0.2">
      <c r="A288" s="49">
        <v>3</v>
      </c>
      <c r="B288" s="49" t="s">
        <v>801</v>
      </c>
      <c r="C288" s="53" t="s">
        <v>802</v>
      </c>
      <c r="D288" s="350" t="s">
        <v>803</v>
      </c>
      <c r="E288" s="44" t="s">
        <v>804</v>
      </c>
      <c r="F288" s="44" t="s">
        <v>805</v>
      </c>
      <c r="G288" s="44" t="s">
        <v>563</v>
      </c>
      <c r="H288" s="44" t="s">
        <v>563</v>
      </c>
      <c r="I288" s="44" t="s">
        <v>563</v>
      </c>
      <c r="J288" s="44" t="s">
        <v>563</v>
      </c>
      <c r="K288" s="44" t="s">
        <v>563</v>
      </c>
      <c r="L288" s="44" t="s">
        <v>781</v>
      </c>
      <c r="M288" s="44" t="s">
        <v>806</v>
      </c>
      <c r="N288" s="51">
        <v>21000000</v>
      </c>
      <c r="O288" s="44"/>
      <c r="P288" s="51"/>
      <c r="Q288" s="149"/>
    </row>
    <row r="289" spans="1:17" s="80" customFormat="1" ht="45" x14ac:dyDescent="0.2">
      <c r="A289" s="49">
        <v>4</v>
      </c>
      <c r="B289" s="49" t="s">
        <v>801</v>
      </c>
      <c r="C289" s="53" t="s">
        <v>802</v>
      </c>
      <c r="D289" s="350" t="s">
        <v>807</v>
      </c>
      <c r="E289" s="44" t="s">
        <v>804</v>
      </c>
      <c r="F289" s="44" t="s">
        <v>808</v>
      </c>
      <c r="G289" s="44" t="s">
        <v>563</v>
      </c>
      <c r="H289" s="44" t="s">
        <v>563</v>
      </c>
      <c r="I289" s="44" t="s">
        <v>563</v>
      </c>
      <c r="J289" s="44" t="s">
        <v>563</v>
      </c>
      <c r="K289" s="44" t="s">
        <v>563</v>
      </c>
      <c r="L289" s="44"/>
      <c r="M289" s="44"/>
      <c r="N289" s="51">
        <v>40000000</v>
      </c>
      <c r="O289" s="44"/>
      <c r="P289" s="51"/>
      <c r="Q289" s="149"/>
    </row>
    <row r="290" spans="1:17" s="80" customFormat="1" ht="60" x14ac:dyDescent="0.2">
      <c r="A290" s="49">
        <v>5</v>
      </c>
      <c r="B290" s="49" t="s">
        <v>809</v>
      </c>
      <c r="C290" s="53" t="s">
        <v>810</v>
      </c>
      <c r="D290" s="50" t="s">
        <v>811</v>
      </c>
      <c r="E290" s="44" t="s">
        <v>813</v>
      </c>
      <c r="F290" s="44" t="s">
        <v>814</v>
      </c>
      <c r="G290" s="44" t="s">
        <v>49</v>
      </c>
      <c r="H290" s="44" t="s">
        <v>49</v>
      </c>
      <c r="I290" s="44" t="s">
        <v>49</v>
      </c>
      <c r="J290" s="44" t="s">
        <v>49</v>
      </c>
      <c r="K290" s="44" t="s">
        <v>49</v>
      </c>
      <c r="L290" s="44" t="s">
        <v>815</v>
      </c>
      <c r="M290" s="44" t="s">
        <v>800</v>
      </c>
      <c r="N290" s="51">
        <v>80000000</v>
      </c>
      <c r="O290" s="44"/>
      <c r="P290" s="51"/>
      <c r="Q290" s="149"/>
    </row>
    <row r="291" spans="1:17" s="80" customFormat="1" ht="75" x14ac:dyDescent="0.2">
      <c r="A291" s="49">
        <v>13</v>
      </c>
      <c r="B291" s="351" t="s">
        <v>850</v>
      </c>
      <c r="C291" s="352" t="s">
        <v>851</v>
      </c>
      <c r="D291" s="353" t="s">
        <v>852</v>
      </c>
      <c r="E291" s="56" t="s">
        <v>853</v>
      </c>
      <c r="F291" s="56" t="s">
        <v>854</v>
      </c>
      <c r="G291" s="56" t="s">
        <v>49</v>
      </c>
      <c r="H291" s="56" t="s">
        <v>49</v>
      </c>
      <c r="I291" s="56" t="s">
        <v>563</v>
      </c>
      <c r="J291" s="56" t="s">
        <v>563</v>
      </c>
      <c r="K291" s="56" t="s">
        <v>563</v>
      </c>
      <c r="L291" s="56" t="s">
        <v>855</v>
      </c>
      <c r="M291" s="56" t="s">
        <v>806</v>
      </c>
      <c r="N291" s="58">
        <v>100000000</v>
      </c>
      <c r="O291" s="56"/>
      <c r="P291" s="58"/>
      <c r="Q291" s="58"/>
    </row>
    <row r="292" spans="1:17" s="80" customFormat="1" ht="93.75" customHeight="1" x14ac:dyDescent="0.2">
      <c r="A292" s="49">
        <v>6</v>
      </c>
      <c r="B292" s="66" t="s">
        <v>816</v>
      </c>
      <c r="C292" s="354" t="s">
        <v>817</v>
      </c>
      <c r="D292" s="50" t="s">
        <v>818</v>
      </c>
      <c r="E292" s="44" t="s">
        <v>819</v>
      </c>
      <c r="F292" s="44" t="s">
        <v>820</v>
      </c>
      <c r="G292" s="44" t="s">
        <v>49</v>
      </c>
      <c r="H292" s="44" t="s">
        <v>49</v>
      </c>
      <c r="I292" s="44" t="s">
        <v>563</v>
      </c>
      <c r="J292" s="44" t="s">
        <v>563</v>
      </c>
      <c r="K292" s="44" t="s">
        <v>563</v>
      </c>
      <c r="L292" s="44" t="s">
        <v>821</v>
      </c>
      <c r="M292" s="44" t="s">
        <v>822</v>
      </c>
      <c r="N292" s="44"/>
      <c r="O292" s="51">
        <v>30000000</v>
      </c>
      <c r="P292" s="51"/>
      <c r="Q292" s="44" t="s">
        <v>1616</v>
      </c>
    </row>
    <row r="293" spans="1:17" s="80" customFormat="1" ht="71.25" customHeight="1" x14ac:dyDescent="0.2">
      <c r="A293" s="49">
        <v>7</v>
      </c>
      <c r="B293" s="66" t="s">
        <v>816</v>
      </c>
      <c r="C293" s="354" t="s">
        <v>823</v>
      </c>
      <c r="D293" s="50" t="s">
        <v>824</v>
      </c>
      <c r="E293" s="44" t="s">
        <v>819</v>
      </c>
      <c r="F293" s="44" t="s">
        <v>820</v>
      </c>
      <c r="G293" s="44" t="s">
        <v>49</v>
      </c>
      <c r="H293" s="44" t="s">
        <v>49</v>
      </c>
      <c r="I293" s="44" t="s">
        <v>563</v>
      </c>
      <c r="J293" s="44" t="s">
        <v>563</v>
      </c>
      <c r="K293" s="44" t="s">
        <v>563</v>
      </c>
      <c r="L293" s="44"/>
      <c r="M293" s="44"/>
      <c r="N293" s="44"/>
      <c r="O293" s="51"/>
      <c r="P293" s="51"/>
      <c r="Q293" s="44" t="s">
        <v>1616</v>
      </c>
    </row>
    <row r="294" spans="1:17" s="80" customFormat="1" ht="45" x14ac:dyDescent="0.2">
      <c r="A294" s="49">
        <v>8</v>
      </c>
      <c r="B294" s="49" t="s">
        <v>825</v>
      </c>
      <c r="C294" s="54" t="s">
        <v>826</v>
      </c>
      <c r="D294" s="355" t="s">
        <v>827</v>
      </c>
      <c r="E294" s="44" t="s">
        <v>828</v>
      </c>
      <c r="F294" s="44" t="s">
        <v>820</v>
      </c>
      <c r="G294" s="44" t="s">
        <v>49</v>
      </c>
      <c r="H294" s="44" t="s">
        <v>49</v>
      </c>
      <c r="I294" s="44" t="s">
        <v>563</v>
      </c>
      <c r="J294" s="44" t="s">
        <v>563</v>
      </c>
      <c r="K294" s="44" t="s">
        <v>563</v>
      </c>
      <c r="L294" s="44" t="s">
        <v>829</v>
      </c>
      <c r="M294" s="44"/>
      <c r="N294" s="44"/>
      <c r="O294" s="51">
        <v>200000000</v>
      </c>
      <c r="P294" s="51"/>
      <c r="Q294" s="44" t="s">
        <v>1616</v>
      </c>
    </row>
    <row r="295" spans="1:17" s="80" customFormat="1" ht="60" x14ac:dyDescent="0.2">
      <c r="A295" s="49">
        <v>9</v>
      </c>
      <c r="B295" s="49"/>
      <c r="C295" s="53" t="s">
        <v>812</v>
      </c>
      <c r="D295" s="50" t="s">
        <v>830</v>
      </c>
      <c r="E295" s="44" t="s">
        <v>831</v>
      </c>
      <c r="F295" s="44" t="s">
        <v>787</v>
      </c>
      <c r="G295" s="44" t="s">
        <v>49</v>
      </c>
      <c r="H295" s="44" t="s">
        <v>49</v>
      </c>
      <c r="I295" s="44" t="s">
        <v>563</v>
      </c>
      <c r="J295" s="44" t="s">
        <v>563</v>
      </c>
      <c r="K295" s="44" t="s">
        <v>563</v>
      </c>
      <c r="L295" s="44" t="s">
        <v>832</v>
      </c>
      <c r="M295" s="44" t="s">
        <v>806</v>
      </c>
      <c r="N295" s="44"/>
      <c r="O295" s="51">
        <v>300000000</v>
      </c>
      <c r="P295" s="51"/>
      <c r="Q295" s="44" t="s">
        <v>1616</v>
      </c>
    </row>
    <row r="296" spans="1:17" s="80" customFormat="1" ht="60" x14ac:dyDescent="0.2">
      <c r="A296" s="49">
        <v>10</v>
      </c>
      <c r="B296" s="49"/>
      <c r="C296" s="53" t="s">
        <v>833</v>
      </c>
      <c r="D296" s="63" t="s">
        <v>834</v>
      </c>
      <c r="E296" s="44" t="s">
        <v>813</v>
      </c>
      <c r="F296" s="44" t="s">
        <v>835</v>
      </c>
      <c r="G296" s="44" t="s">
        <v>49</v>
      </c>
      <c r="H296" s="44" t="s">
        <v>49</v>
      </c>
      <c r="I296" s="44" t="s">
        <v>563</v>
      </c>
      <c r="J296" s="44" t="s">
        <v>563</v>
      </c>
      <c r="K296" s="44" t="s">
        <v>563</v>
      </c>
      <c r="L296" s="44" t="s">
        <v>836</v>
      </c>
      <c r="M296" s="44" t="s">
        <v>837</v>
      </c>
      <c r="N296" s="44"/>
      <c r="O296" s="51">
        <v>200000000</v>
      </c>
      <c r="P296" s="51"/>
      <c r="Q296" s="44" t="s">
        <v>1616</v>
      </c>
    </row>
    <row r="297" spans="1:17" s="80" customFormat="1" ht="30" x14ac:dyDescent="0.2">
      <c r="A297" s="49">
        <v>11</v>
      </c>
      <c r="B297" s="49"/>
      <c r="C297" s="53" t="s">
        <v>833</v>
      </c>
      <c r="D297" s="50" t="s">
        <v>838</v>
      </c>
      <c r="E297" s="44" t="s">
        <v>839</v>
      </c>
      <c r="F297" s="44" t="s">
        <v>840</v>
      </c>
      <c r="G297" s="44" t="s">
        <v>49</v>
      </c>
      <c r="H297" s="44" t="s">
        <v>49</v>
      </c>
      <c r="I297" s="44" t="s">
        <v>563</v>
      </c>
      <c r="J297" s="44" t="s">
        <v>563</v>
      </c>
      <c r="K297" s="44" t="s">
        <v>563</v>
      </c>
      <c r="L297" s="44" t="s">
        <v>841</v>
      </c>
      <c r="M297" s="44" t="s">
        <v>455</v>
      </c>
      <c r="N297" s="44"/>
      <c r="O297" s="51">
        <v>3000000000</v>
      </c>
      <c r="P297" s="51"/>
      <c r="Q297" s="44" t="s">
        <v>1616</v>
      </c>
    </row>
    <row r="298" spans="1:17" s="80" customFormat="1" ht="44.25" customHeight="1" x14ac:dyDescent="0.2">
      <c r="A298" s="49">
        <v>12</v>
      </c>
      <c r="B298" s="356" t="s">
        <v>842</v>
      </c>
      <c r="C298" s="352" t="s">
        <v>843</v>
      </c>
      <c r="D298" s="55" t="s">
        <v>844</v>
      </c>
      <c r="E298" s="56" t="s">
        <v>846</v>
      </c>
      <c r="F298" s="57" t="s">
        <v>847</v>
      </c>
      <c r="G298" s="56" t="s">
        <v>49</v>
      </c>
      <c r="H298" s="57" t="s">
        <v>49</v>
      </c>
      <c r="I298" s="44" t="s">
        <v>563</v>
      </c>
      <c r="J298" s="44" t="s">
        <v>563</v>
      </c>
      <c r="K298" s="44" t="s">
        <v>563</v>
      </c>
      <c r="L298" s="56" t="s">
        <v>848</v>
      </c>
      <c r="M298" s="47" t="s">
        <v>849</v>
      </c>
      <c r="N298" s="56"/>
      <c r="O298" s="51">
        <v>100000000</v>
      </c>
      <c r="P298" s="51"/>
      <c r="Q298" s="51" t="s">
        <v>200</v>
      </c>
    </row>
    <row r="299" spans="1:17" s="80" customFormat="1" ht="15.75" customHeight="1" x14ac:dyDescent="0.2">
      <c r="A299" s="149"/>
      <c r="B299" s="149"/>
      <c r="C299" s="149"/>
      <c r="D299" s="97"/>
      <c r="E299" s="97"/>
      <c r="F299" s="97"/>
      <c r="G299" s="97"/>
      <c r="H299" s="97"/>
      <c r="I299" s="97"/>
      <c r="J299" s="97"/>
      <c r="K299" s="97"/>
      <c r="L299" s="97"/>
      <c r="M299" s="149"/>
      <c r="N299" s="149"/>
      <c r="O299" s="149"/>
      <c r="P299" s="149"/>
      <c r="Q299" s="149"/>
    </row>
    <row r="300" spans="1:17" s="80" customFormat="1" ht="15.75" customHeight="1" x14ac:dyDescent="0.25">
      <c r="A300" s="835" t="s">
        <v>40</v>
      </c>
      <c r="B300" s="826"/>
      <c r="C300" s="826"/>
      <c r="D300" s="826"/>
      <c r="E300" s="826"/>
      <c r="F300" s="826"/>
      <c r="G300" s="826"/>
      <c r="H300" s="826"/>
      <c r="I300" s="826"/>
      <c r="J300" s="826"/>
      <c r="K300" s="826"/>
      <c r="L300" s="826"/>
      <c r="M300" s="826"/>
      <c r="N300" s="826"/>
      <c r="O300" s="826"/>
      <c r="P300" s="826"/>
      <c r="Q300" s="827"/>
    </row>
    <row r="301" spans="1:17" s="65" customFormat="1" ht="60" x14ac:dyDescent="0.25">
      <c r="A301" s="49">
        <v>1</v>
      </c>
      <c r="B301" s="66" t="s">
        <v>858</v>
      </c>
      <c r="C301" s="67" t="s">
        <v>859</v>
      </c>
      <c r="D301" s="44" t="s">
        <v>860</v>
      </c>
      <c r="E301" s="44" t="s">
        <v>861</v>
      </c>
      <c r="F301" s="44" t="s">
        <v>862</v>
      </c>
      <c r="G301" s="44" t="s">
        <v>563</v>
      </c>
      <c r="H301" s="44" t="s">
        <v>563</v>
      </c>
      <c r="I301" s="44" t="s">
        <v>563</v>
      </c>
      <c r="J301" s="44" t="s">
        <v>563</v>
      </c>
      <c r="K301" s="44" t="s">
        <v>563</v>
      </c>
      <c r="L301" s="44" t="s">
        <v>863</v>
      </c>
      <c r="M301" s="44" t="s">
        <v>800</v>
      </c>
      <c r="N301" s="51">
        <v>30000000</v>
      </c>
      <c r="O301" s="51"/>
      <c r="P301" s="51"/>
      <c r="Q301" s="51"/>
    </row>
    <row r="302" spans="1:17" s="65" customFormat="1" ht="45" x14ac:dyDescent="0.25">
      <c r="A302" s="49">
        <v>2</v>
      </c>
      <c r="B302" s="357" t="s">
        <v>864</v>
      </c>
      <c r="C302" s="67" t="s">
        <v>865</v>
      </c>
      <c r="D302" s="54" t="s">
        <v>866</v>
      </c>
      <c r="E302" s="44" t="s">
        <v>867</v>
      </c>
      <c r="F302" s="44" t="s">
        <v>697</v>
      </c>
      <c r="G302" s="44" t="s">
        <v>563</v>
      </c>
      <c r="H302" s="44" t="s">
        <v>563</v>
      </c>
      <c r="I302" s="44" t="s">
        <v>563</v>
      </c>
      <c r="J302" s="44" t="s">
        <v>563</v>
      </c>
      <c r="K302" s="44" t="s">
        <v>563</v>
      </c>
      <c r="L302" s="44" t="s">
        <v>863</v>
      </c>
      <c r="M302" s="44" t="s">
        <v>868</v>
      </c>
      <c r="N302" s="51">
        <v>6000000</v>
      </c>
      <c r="O302" s="51"/>
      <c r="P302" s="51"/>
      <c r="Q302" s="51"/>
    </row>
    <row r="303" spans="1:17" s="65" customFormat="1" ht="60" x14ac:dyDescent="0.25">
      <c r="A303" s="49">
        <v>3</v>
      </c>
      <c r="B303" s="49" t="s">
        <v>869</v>
      </c>
      <c r="C303" s="59" t="s">
        <v>870</v>
      </c>
      <c r="D303" s="358" t="s">
        <v>871</v>
      </c>
      <c r="E303" s="44" t="s">
        <v>872</v>
      </c>
      <c r="F303" s="44" t="s">
        <v>862</v>
      </c>
      <c r="G303" s="44" t="s">
        <v>49</v>
      </c>
      <c r="H303" s="44" t="s">
        <v>49</v>
      </c>
      <c r="I303" s="44" t="s">
        <v>49</v>
      </c>
      <c r="J303" s="44" t="s">
        <v>49</v>
      </c>
      <c r="K303" s="44" t="s">
        <v>49</v>
      </c>
      <c r="L303" s="44" t="s">
        <v>863</v>
      </c>
      <c r="M303" s="44" t="s">
        <v>873</v>
      </c>
      <c r="N303" s="51">
        <v>3000000</v>
      </c>
      <c r="O303" s="51"/>
      <c r="P303" s="51"/>
      <c r="Q303" s="51"/>
    </row>
    <row r="304" spans="1:17" s="65" customFormat="1" ht="45" x14ac:dyDescent="0.25">
      <c r="A304" s="49">
        <v>4</v>
      </c>
      <c r="B304" s="357" t="s">
        <v>874</v>
      </c>
      <c r="C304" s="50" t="s">
        <v>875</v>
      </c>
      <c r="D304" s="50" t="s">
        <v>876</v>
      </c>
      <c r="E304" s="44" t="s">
        <v>877</v>
      </c>
      <c r="F304" s="44" t="s">
        <v>820</v>
      </c>
      <c r="G304" s="44" t="s">
        <v>563</v>
      </c>
      <c r="H304" s="44" t="s">
        <v>49</v>
      </c>
      <c r="I304" s="44" t="s">
        <v>563</v>
      </c>
      <c r="J304" s="44" t="s">
        <v>563</v>
      </c>
      <c r="K304" s="44" t="s">
        <v>563</v>
      </c>
      <c r="L304" s="44" t="s">
        <v>878</v>
      </c>
      <c r="M304" s="44" t="s">
        <v>822</v>
      </c>
      <c r="N304" s="51">
        <v>3000000</v>
      </c>
      <c r="O304" s="51"/>
      <c r="P304" s="51"/>
      <c r="Q304" s="51"/>
    </row>
    <row r="305" spans="1:17" s="65" customFormat="1" ht="96.75" customHeight="1" x14ac:dyDescent="0.25">
      <c r="A305" s="49">
        <v>5</v>
      </c>
      <c r="B305" s="49" t="s">
        <v>874</v>
      </c>
      <c r="C305" s="50" t="s">
        <v>875</v>
      </c>
      <c r="D305" s="350" t="s">
        <v>879</v>
      </c>
      <c r="E305" s="44" t="s">
        <v>880</v>
      </c>
      <c r="F305" s="44" t="s">
        <v>820</v>
      </c>
      <c r="G305" s="44" t="s">
        <v>49</v>
      </c>
      <c r="H305" s="44" t="s">
        <v>49</v>
      </c>
      <c r="I305" s="44" t="s">
        <v>49</v>
      </c>
      <c r="J305" s="44" t="s">
        <v>49</v>
      </c>
      <c r="K305" s="44" t="s">
        <v>49</v>
      </c>
      <c r="L305" s="44" t="s">
        <v>881</v>
      </c>
      <c r="M305" s="44" t="s">
        <v>882</v>
      </c>
      <c r="N305" s="51">
        <v>3000000</v>
      </c>
      <c r="O305" s="51"/>
      <c r="P305" s="51"/>
      <c r="Q305" s="51"/>
    </row>
    <row r="306" spans="1:17" s="65" customFormat="1" ht="88.5" customHeight="1" x14ac:dyDescent="0.25">
      <c r="A306" s="49">
        <v>6</v>
      </c>
      <c r="B306" s="49" t="s">
        <v>874</v>
      </c>
      <c r="C306" s="50" t="s">
        <v>875</v>
      </c>
      <c r="D306" s="350" t="s">
        <v>883</v>
      </c>
      <c r="E306" s="44" t="s">
        <v>880</v>
      </c>
      <c r="F306" s="44" t="s">
        <v>820</v>
      </c>
      <c r="G306" s="44" t="s">
        <v>49</v>
      </c>
      <c r="H306" s="44" t="s">
        <v>49</v>
      </c>
      <c r="I306" s="44" t="s">
        <v>49</v>
      </c>
      <c r="J306" s="44" t="s">
        <v>49</v>
      </c>
      <c r="K306" s="44" t="s">
        <v>49</v>
      </c>
      <c r="L306" s="44"/>
      <c r="M306" s="44"/>
      <c r="N306" s="51">
        <v>3000000</v>
      </c>
      <c r="O306" s="51"/>
      <c r="P306" s="51"/>
      <c r="Q306" s="51"/>
    </row>
    <row r="307" spans="1:17" s="65" customFormat="1" ht="45" x14ac:dyDescent="0.25">
      <c r="A307" s="49">
        <v>7</v>
      </c>
      <c r="B307" s="66" t="s">
        <v>869</v>
      </c>
      <c r="C307" s="359" t="s">
        <v>870</v>
      </c>
      <c r="D307" s="50" t="s">
        <v>884</v>
      </c>
      <c r="E307" s="50" t="s">
        <v>885</v>
      </c>
      <c r="F307" s="44" t="s">
        <v>820</v>
      </c>
      <c r="G307" s="44" t="s">
        <v>49</v>
      </c>
      <c r="H307" s="44" t="s">
        <v>49</v>
      </c>
      <c r="I307" s="44" t="s">
        <v>49</v>
      </c>
      <c r="J307" s="44" t="s">
        <v>49</v>
      </c>
      <c r="K307" s="44" t="s">
        <v>49</v>
      </c>
      <c r="L307" s="44" t="s">
        <v>886</v>
      </c>
      <c r="M307" s="44" t="s">
        <v>887</v>
      </c>
      <c r="N307" s="51">
        <v>3000000</v>
      </c>
      <c r="O307" s="51"/>
      <c r="P307" s="51"/>
      <c r="Q307" s="51"/>
    </row>
    <row r="308" spans="1:17" s="65" customFormat="1" ht="90" customHeight="1" x14ac:dyDescent="0.25">
      <c r="A308" s="49">
        <v>8</v>
      </c>
      <c r="B308" s="49" t="s">
        <v>473</v>
      </c>
      <c r="C308" s="59" t="s">
        <v>888</v>
      </c>
      <c r="D308" s="350" t="s">
        <v>889</v>
      </c>
      <c r="E308" s="44" t="s">
        <v>890</v>
      </c>
      <c r="F308" s="44" t="s">
        <v>891</v>
      </c>
      <c r="G308" s="44" t="s">
        <v>563</v>
      </c>
      <c r="H308" s="44" t="s">
        <v>563</v>
      </c>
      <c r="I308" s="44" t="s">
        <v>563</v>
      </c>
      <c r="J308" s="44" t="s">
        <v>563</v>
      </c>
      <c r="K308" s="44" t="s">
        <v>563</v>
      </c>
      <c r="L308" s="44" t="s">
        <v>878</v>
      </c>
      <c r="M308" s="44" t="s">
        <v>892</v>
      </c>
      <c r="N308" s="51">
        <v>6000000</v>
      </c>
      <c r="O308" s="51"/>
      <c r="P308" s="51"/>
      <c r="Q308" s="51"/>
    </row>
    <row r="309" spans="1:17" s="65" customFormat="1" ht="45" x14ac:dyDescent="0.25">
      <c r="A309" s="49">
        <v>9</v>
      </c>
      <c r="B309" s="66" t="s">
        <v>874</v>
      </c>
      <c r="C309" s="360" t="s">
        <v>875</v>
      </c>
      <c r="D309" s="50" t="s">
        <v>893</v>
      </c>
      <c r="E309" s="44" t="s">
        <v>894</v>
      </c>
      <c r="F309" s="44" t="s">
        <v>820</v>
      </c>
      <c r="G309" s="44" t="s">
        <v>49</v>
      </c>
      <c r="H309" s="44" t="s">
        <v>49</v>
      </c>
      <c r="I309" s="44" t="s">
        <v>49</v>
      </c>
      <c r="J309" s="44" t="s">
        <v>49</v>
      </c>
      <c r="K309" s="44" t="s">
        <v>49</v>
      </c>
      <c r="L309" s="44" t="s">
        <v>895</v>
      </c>
      <c r="M309" s="44" t="s">
        <v>896</v>
      </c>
      <c r="N309" s="51">
        <v>3000000</v>
      </c>
      <c r="O309" s="51"/>
      <c r="P309" s="51"/>
      <c r="Q309" s="51"/>
    </row>
    <row r="310" spans="1:17" s="65" customFormat="1" ht="45" x14ac:dyDescent="0.25">
      <c r="A310" s="49">
        <v>10</v>
      </c>
      <c r="B310" s="66" t="s">
        <v>874</v>
      </c>
      <c r="C310" s="360" t="s">
        <v>875</v>
      </c>
      <c r="D310" s="350" t="s">
        <v>897</v>
      </c>
      <c r="E310" s="44" t="s">
        <v>898</v>
      </c>
      <c r="F310" s="44" t="s">
        <v>899</v>
      </c>
      <c r="G310" s="44" t="s">
        <v>563</v>
      </c>
      <c r="H310" s="44"/>
      <c r="I310" s="44" t="s">
        <v>563</v>
      </c>
      <c r="J310" s="44" t="s">
        <v>563</v>
      </c>
      <c r="K310" s="44" t="s">
        <v>563</v>
      </c>
      <c r="L310" s="44" t="s">
        <v>895</v>
      </c>
      <c r="M310" s="44" t="s">
        <v>887</v>
      </c>
      <c r="N310" s="51">
        <v>6000000</v>
      </c>
      <c r="O310" s="51"/>
      <c r="P310" s="51"/>
      <c r="Q310" s="51"/>
    </row>
    <row r="311" spans="1:17" s="65" customFormat="1" ht="45" x14ac:dyDescent="0.25">
      <c r="A311" s="49">
        <v>11</v>
      </c>
      <c r="B311" s="66" t="s">
        <v>900</v>
      </c>
      <c r="C311" s="354" t="s">
        <v>901</v>
      </c>
      <c r="D311" s="50" t="s">
        <v>902</v>
      </c>
      <c r="E311" s="44" t="s">
        <v>903</v>
      </c>
      <c r="F311" s="44" t="s">
        <v>904</v>
      </c>
      <c r="G311" s="44" t="s">
        <v>49</v>
      </c>
      <c r="H311" s="44" t="s">
        <v>49</v>
      </c>
      <c r="I311" s="44" t="s">
        <v>49</v>
      </c>
      <c r="J311" s="44" t="s">
        <v>49</v>
      </c>
      <c r="K311" s="44" t="s">
        <v>49</v>
      </c>
      <c r="L311" s="44" t="s">
        <v>781</v>
      </c>
      <c r="M311" s="44" t="s">
        <v>905</v>
      </c>
      <c r="N311" s="51">
        <v>20000000</v>
      </c>
      <c r="O311" s="51"/>
      <c r="P311" s="51"/>
      <c r="Q311" s="51"/>
    </row>
    <row r="312" spans="1:17" s="65" customFormat="1" ht="60" x14ac:dyDescent="0.25">
      <c r="A312" s="49">
        <v>12</v>
      </c>
      <c r="B312" s="66" t="s">
        <v>906</v>
      </c>
      <c r="C312" s="67" t="s">
        <v>907</v>
      </c>
      <c r="D312" s="355" t="s">
        <v>908</v>
      </c>
      <c r="E312" s="44" t="s">
        <v>909</v>
      </c>
      <c r="F312" s="44" t="s">
        <v>910</v>
      </c>
      <c r="G312" s="44" t="s">
        <v>49</v>
      </c>
      <c r="H312" s="44" t="s">
        <v>49</v>
      </c>
      <c r="I312" s="44" t="s">
        <v>49</v>
      </c>
      <c r="J312" s="44" t="s">
        <v>49</v>
      </c>
      <c r="K312" s="44" t="s">
        <v>49</v>
      </c>
      <c r="L312" s="44" t="s">
        <v>781</v>
      </c>
      <c r="M312" s="44" t="s">
        <v>911</v>
      </c>
      <c r="N312" s="51">
        <v>15000000</v>
      </c>
      <c r="O312" s="51"/>
      <c r="P312" s="51"/>
      <c r="Q312" s="51"/>
    </row>
    <row r="313" spans="1:17" s="65" customFormat="1" ht="45" x14ac:dyDescent="0.25">
      <c r="A313" s="49">
        <v>13</v>
      </c>
      <c r="B313" s="49" t="s">
        <v>912</v>
      </c>
      <c r="C313" s="54" t="s">
        <v>913</v>
      </c>
      <c r="D313" s="355" t="s">
        <v>914</v>
      </c>
      <c r="E313" s="44" t="s">
        <v>915</v>
      </c>
      <c r="F313" s="44" t="s">
        <v>910</v>
      </c>
      <c r="G313" s="44" t="s">
        <v>49</v>
      </c>
      <c r="H313" s="44" t="s">
        <v>49</v>
      </c>
      <c r="I313" s="44" t="s">
        <v>49</v>
      </c>
      <c r="J313" s="44" t="s">
        <v>49</v>
      </c>
      <c r="K313" s="44" t="s">
        <v>49</v>
      </c>
      <c r="L313" s="44" t="s">
        <v>916</v>
      </c>
      <c r="M313" s="44" t="s">
        <v>917</v>
      </c>
      <c r="N313" s="51">
        <v>6000000</v>
      </c>
      <c r="O313" s="51"/>
      <c r="P313" s="51"/>
      <c r="Q313" s="51"/>
    </row>
    <row r="314" spans="1:17" s="65" customFormat="1" ht="71.25" customHeight="1" x14ac:dyDescent="0.25">
      <c r="A314" s="49">
        <v>14</v>
      </c>
      <c r="B314" s="49" t="s">
        <v>918</v>
      </c>
      <c r="C314" s="59" t="s">
        <v>919</v>
      </c>
      <c r="D314" s="361" t="s">
        <v>920</v>
      </c>
      <c r="E314" s="44" t="s">
        <v>921</v>
      </c>
      <c r="F314" s="44" t="s">
        <v>910</v>
      </c>
      <c r="G314" s="44" t="s">
        <v>49</v>
      </c>
      <c r="H314" s="44" t="s">
        <v>49</v>
      </c>
      <c r="I314" s="44" t="s">
        <v>49</v>
      </c>
      <c r="J314" s="44" t="s">
        <v>49</v>
      </c>
      <c r="K314" s="44" t="s">
        <v>49</v>
      </c>
      <c r="L314" s="44" t="s">
        <v>922</v>
      </c>
      <c r="M314" s="44" t="s">
        <v>800</v>
      </c>
      <c r="N314" s="51">
        <v>15000000</v>
      </c>
      <c r="O314" s="51"/>
      <c r="P314" s="51"/>
      <c r="Q314" s="51"/>
    </row>
    <row r="315" spans="1:17" s="65" customFormat="1" ht="75" x14ac:dyDescent="0.25">
      <c r="A315" s="49">
        <v>15</v>
      </c>
      <c r="B315" s="49" t="s">
        <v>923</v>
      </c>
      <c r="C315" s="362" t="s">
        <v>924</v>
      </c>
      <c r="D315" s="61" t="s">
        <v>925</v>
      </c>
      <c r="E315" s="44" t="s">
        <v>926</v>
      </c>
      <c r="F315" s="44" t="s">
        <v>820</v>
      </c>
      <c r="G315" s="44" t="s">
        <v>563</v>
      </c>
      <c r="H315" s="44" t="s">
        <v>563</v>
      </c>
      <c r="I315" s="44" t="s">
        <v>563</v>
      </c>
      <c r="J315" s="44" t="s">
        <v>563</v>
      </c>
      <c r="K315" s="44" t="s">
        <v>563</v>
      </c>
      <c r="L315" s="44" t="s">
        <v>927</v>
      </c>
      <c r="M315" s="44" t="s">
        <v>928</v>
      </c>
      <c r="N315" s="51">
        <v>38000000</v>
      </c>
      <c r="O315" s="51"/>
      <c r="P315" s="51"/>
      <c r="Q315" s="51"/>
    </row>
    <row r="316" spans="1:17" s="65" customFormat="1" ht="45" x14ac:dyDescent="0.25">
      <c r="A316" s="49">
        <v>16</v>
      </c>
      <c r="B316" s="49"/>
      <c r="C316" s="59" t="s">
        <v>929</v>
      </c>
      <c r="D316" s="50" t="s">
        <v>930</v>
      </c>
      <c r="E316" s="44" t="s">
        <v>931</v>
      </c>
      <c r="F316" s="44" t="s">
        <v>932</v>
      </c>
      <c r="G316" s="44" t="s">
        <v>563</v>
      </c>
      <c r="H316" s="44" t="s">
        <v>563</v>
      </c>
      <c r="I316" s="44" t="s">
        <v>563</v>
      </c>
      <c r="J316" s="44" t="s">
        <v>563</v>
      </c>
      <c r="K316" s="44" t="s">
        <v>563</v>
      </c>
      <c r="L316" s="44" t="s">
        <v>781</v>
      </c>
      <c r="M316" s="44" t="s">
        <v>800</v>
      </c>
      <c r="N316" s="51">
        <v>5000000</v>
      </c>
      <c r="O316" s="51"/>
      <c r="P316" s="51"/>
      <c r="Q316" s="51"/>
    </row>
    <row r="317" spans="1:17" s="65" customFormat="1" ht="30" x14ac:dyDescent="0.25">
      <c r="A317" s="49">
        <v>17</v>
      </c>
      <c r="B317" s="49"/>
      <c r="C317" s="59" t="s">
        <v>933</v>
      </c>
      <c r="D317" s="50" t="s">
        <v>934</v>
      </c>
      <c r="E317" s="50" t="s">
        <v>935</v>
      </c>
      <c r="F317" s="44" t="s">
        <v>936</v>
      </c>
      <c r="G317" s="44" t="s">
        <v>563</v>
      </c>
      <c r="H317" s="44" t="s">
        <v>563</v>
      </c>
      <c r="I317" s="44" t="s">
        <v>563</v>
      </c>
      <c r="J317" s="44" t="s">
        <v>563</v>
      </c>
      <c r="K317" s="44" t="s">
        <v>563</v>
      </c>
      <c r="L317" s="44" t="s">
        <v>138</v>
      </c>
      <c r="M317" s="44" t="s">
        <v>937</v>
      </c>
      <c r="N317" s="51">
        <v>5000000</v>
      </c>
      <c r="O317" s="51"/>
      <c r="P317" s="51"/>
      <c r="Q317" s="51"/>
    </row>
    <row r="318" spans="1:17" s="65" customFormat="1" ht="73.5" customHeight="1" x14ac:dyDescent="0.25">
      <c r="A318" s="49">
        <v>18</v>
      </c>
      <c r="B318" s="49" t="s">
        <v>938</v>
      </c>
      <c r="C318" s="362" t="s">
        <v>939</v>
      </c>
      <c r="D318" s="50" t="s">
        <v>940</v>
      </c>
      <c r="E318" s="44" t="s">
        <v>941</v>
      </c>
      <c r="F318" s="44" t="s">
        <v>787</v>
      </c>
      <c r="G318" s="44" t="s">
        <v>563</v>
      </c>
      <c r="H318" s="44" t="s">
        <v>563</v>
      </c>
      <c r="I318" s="44" t="s">
        <v>563</v>
      </c>
      <c r="J318" s="44" t="s">
        <v>563</v>
      </c>
      <c r="K318" s="44" t="s">
        <v>563</v>
      </c>
      <c r="L318" s="44" t="s">
        <v>942</v>
      </c>
      <c r="M318" s="44" t="s">
        <v>943</v>
      </c>
      <c r="N318" s="51">
        <v>15000000</v>
      </c>
      <c r="O318" s="51"/>
      <c r="P318" s="51"/>
      <c r="Q318" s="51"/>
    </row>
    <row r="319" spans="1:17" s="65" customFormat="1" ht="45" x14ac:dyDescent="0.25">
      <c r="A319" s="49">
        <v>19</v>
      </c>
      <c r="B319" s="49" t="s">
        <v>874</v>
      </c>
      <c r="C319" s="50" t="s">
        <v>875</v>
      </c>
      <c r="D319" s="350" t="s">
        <v>944</v>
      </c>
      <c r="E319" s="44" t="s">
        <v>945</v>
      </c>
      <c r="F319" s="44" t="s">
        <v>946</v>
      </c>
      <c r="G319" s="44" t="s">
        <v>563</v>
      </c>
      <c r="H319" s="44"/>
      <c r="I319" s="44" t="s">
        <v>563</v>
      </c>
      <c r="J319" s="44" t="s">
        <v>563</v>
      </c>
      <c r="K319" s="44" t="s">
        <v>563</v>
      </c>
      <c r="L319" s="44" t="s">
        <v>947</v>
      </c>
      <c r="M319" s="44" t="s">
        <v>800</v>
      </c>
      <c r="N319" s="51"/>
      <c r="O319" s="51">
        <v>20000000</v>
      </c>
      <c r="P319" s="51"/>
      <c r="Q319" s="44" t="s">
        <v>948</v>
      </c>
    </row>
    <row r="320" spans="1:17" s="65" customFormat="1" ht="60" x14ac:dyDescent="0.25">
      <c r="A320" s="49">
        <v>20</v>
      </c>
      <c r="B320" s="49" t="s">
        <v>923</v>
      </c>
      <c r="C320" s="362" t="s">
        <v>924</v>
      </c>
      <c r="D320" s="62" t="s">
        <v>949</v>
      </c>
      <c r="E320" s="44" t="s">
        <v>926</v>
      </c>
      <c r="F320" s="44" t="s">
        <v>820</v>
      </c>
      <c r="G320" s="44" t="s">
        <v>563</v>
      </c>
      <c r="H320" s="44" t="s">
        <v>563</v>
      </c>
      <c r="I320" s="44" t="s">
        <v>563</v>
      </c>
      <c r="J320" s="44" t="s">
        <v>563</v>
      </c>
      <c r="K320" s="44" t="s">
        <v>563</v>
      </c>
      <c r="L320" s="44" t="s">
        <v>950</v>
      </c>
      <c r="M320" s="44" t="s">
        <v>292</v>
      </c>
      <c r="N320" s="51"/>
      <c r="O320" s="51">
        <v>5000000</v>
      </c>
      <c r="P320" s="51"/>
      <c r="Q320" s="44" t="s">
        <v>948</v>
      </c>
    </row>
    <row r="321" spans="1:17" s="65" customFormat="1" ht="45" x14ac:dyDescent="0.25">
      <c r="A321" s="49">
        <v>21</v>
      </c>
      <c r="B321" s="49" t="s">
        <v>842</v>
      </c>
      <c r="C321" s="362" t="s">
        <v>843</v>
      </c>
      <c r="D321" s="61" t="s">
        <v>951</v>
      </c>
      <c r="E321" s="44" t="s">
        <v>952</v>
      </c>
      <c r="F321" s="44" t="s">
        <v>820</v>
      </c>
      <c r="G321" s="44" t="s">
        <v>563</v>
      </c>
      <c r="H321" s="44" t="s">
        <v>563</v>
      </c>
      <c r="I321" s="44" t="s">
        <v>563</v>
      </c>
      <c r="J321" s="44" t="s">
        <v>563</v>
      </c>
      <c r="K321" s="44" t="s">
        <v>563</v>
      </c>
      <c r="L321" s="44" t="s">
        <v>953</v>
      </c>
      <c r="M321" s="44" t="s">
        <v>954</v>
      </c>
      <c r="N321" s="51"/>
      <c r="O321" s="51">
        <v>15000000</v>
      </c>
      <c r="P321" s="51"/>
      <c r="Q321" s="44" t="s">
        <v>948</v>
      </c>
    </row>
    <row r="322" spans="1:17" s="65" customFormat="1" ht="60" x14ac:dyDescent="0.25">
      <c r="A322" s="49">
        <v>22</v>
      </c>
      <c r="B322" s="49" t="s">
        <v>955</v>
      </c>
      <c r="C322" s="59" t="s">
        <v>956</v>
      </c>
      <c r="D322" s="350" t="s">
        <v>957</v>
      </c>
      <c r="E322" s="44" t="s">
        <v>958</v>
      </c>
      <c r="F322" s="44" t="s">
        <v>787</v>
      </c>
      <c r="G322" s="44" t="s">
        <v>563</v>
      </c>
      <c r="H322" s="44" t="s">
        <v>563</v>
      </c>
      <c r="I322" s="44" t="s">
        <v>563</v>
      </c>
      <c r="J322" s="44" t="s">
        <v>563</v>
      </c>
      <c r="K322" s="44" t="s">
        <v>563</v>
      </c>
      <c r="L322" s="44" t="s">
        <v>959</v>
      </c>
      <c r="M322" s="44" t="s">
        <v>960</v>
      </c>
      <c r="N322" s="51"/>
      <c r="O322" s="51">
        <v>20000000</v>
      </c>
      <c r="P322" s="51"/>
      <c r="Q322" s="60" t="s">
        <v>948</v>
      </c>
    </row>
    <row r="323" spans="1:17" s="65" customFormat="1" ht="45" x14ac:dyDescent="0.25">
      <c r="A323" s="49">
        <v>23</v>
      </c>
      <c r="B323" s="49"/>
      <c r="C323" s="59" t="s">
        <v>845</v>
      </c>
      <c r="D323" s="50" t="s">
        <v>961</v>
      </c>
      <c r="E323" s="50" t="s">
        <v>962</v>
      </c>
      <c r="F323" s="44" t="s">
        <v>963</v>
      </c>
      <c r="G323" s="44" t="s">
        <v>49</v>
      </c>
      <c r="H323" s="44" t="s">
        <v>49</v>
      </c>
      <c r="I323" s="44"/>
      <c r="J323" s="44" t="s">
        <v>49</v>
      </c>
      <c r="K323" s="44" t="s">
        <v>49</v>
      </c>
      <c r="L323" s="44" t="s">
        <v>781</v>
      </c>
      <c r="M323" s="44" t="s">
        <v>964</v>
      </c>
      <c r="N323" s="51"/>
      <c r="O323" s="51">
        <v>9000000</v>
      </c>
      <c r="P323" s="51"/>
      <c r="Q323" s="60" t="s">
        <v>948</v>
      </c>
    </row>
    <row r="324" spans="1:17" s="65" customFormat="1" ht="45" x14ac:dyDescent="0.25">
      <c r="A324" s="49">
        <v>24</v>
      </c>
      <c r="B324" s="66" t="s">
        <v>965</v>
      </c>
      <c r="C324" s="67" t="s">
        <v>545</v>
      </c>
      <c r="D324" s="50" t="s">
        <v>966</v>
      </c>
      <c r="E324" s="44" t="s">
        <v>967</v>
      </c>
      <c r="F324" s="44" t="s">
        <v>968</v>
      </c>
      <c r="G324" s="44" t="s">
        <v>563</v>
      </c>
      <c r="H324" s="44"/>
      <c r="I324" s="44" t="s">
        <v>563</v>
      </c>
      <c r="J324" s="44" t="s">
        <v>563</v>
      </c>
      <c r="K324" s="44" t="s">
        <v>563</v>
      </c>
      <c r="L324" s="44" t="s">
        <v>969</v>
      </c>
      <c r="M324" s="44" t="s">
        <v>970</v>
      </c>
      <c r="N324" s="51"/>
      <c r="O324" s="51">
        <v>10000000</v>
      </c>
      <c r="P324" s="51"/>
      <c r="Q324" s="44" t="s">
        <v>971</v>
      </c>
    </row>
    <row r="325" spans="1:17" s="65" customFormat="1" ht="30" x14ac:dyDescent="0.25">
      <c r="A325" s="49">
        <v>25</v>
      </c>
      <c r="B325" s="49"/>
      <c r="C325" s="59" t="s">
        <v>845</v>
      </c>
      <c r="D325" s="50" t="s">
        <v>972</v>
      </c>
      <c r="E325" s="50" t="s">
        <v>973</v>
      </c>
      <c r="F325" s="44" t="s">
        <v>974</v>
      </c>
      <c r="G325" s="44" t="s">
        <v>563</v>
      </c>
      <c r="H325" s="44" t="s">
        <v>563</v>
      </c>
      <c r="I325" s="44" t="s">
        <v>563</v>
      </c>
      <c r="J325" s="44" t="s">
        <v>563</v>
      </c>
      <c r="K325" s="44" t="s">
        <v>563</v>
      </c>
      <c r="L325" s="44" t="s">
        <v>975</v>
      </c>
      <c r="M325" s="44" t="s">
        <v>976</v>
      </c>
      <c r="N325" s="51"/>
      <c r="O325" s="51">
        <v>20000000</v>
      </c>
      <c r="P325" s="51"/>
      <c r="Q325" s="44" t="s">
        <v>971</v>
      </c>
    </row>
    <row r="326" spans="1:17" s="65" customFormat="1" ht="45" x14ac:dyDescent="0.25">
      <c r="A326" s="49">
        <v>26</v>
      </c>
      <c r="B326" s="49"/>
      <c r="C326" s="59" t="s">
        <v>845</v>
      </c>
      <c r="D326" s="50" t="s">
        <v>977</v>
      </c>
      <c r="E326" s="44" t="s">
        <v>978</v>
      </c>
      <c r="F326" s="44" t="s">
        <v>820</v>
      </c>
      <c r="G326" s="44" t="s">
        <v>563</v>
      </c>
      <c r="H326" s="44" t="s">
        <v>563</v>
      </c>
      <c r="I326" s="44" t="s">
        <v>563</v>
      </c>
      <c r="J326" s="44" t="s">
        <v>563</v>
      </c>
      <c r="K326" s="44" t="s">
        <v>563</v>
      </c>
      <c r="L326" s="44" t="s">
        <v>878</v>
      </c>
      <c r="M326" s="44" t="s">
        <v>979</v>
      </c>
      <c r="N326" s="51"/>
      <c r="O326" s="51">
        <f>1750000*5</f>
        <v>8750000</v>
      </c>
      <c r="P326" s="51"/>
      <c r="Q326" s="44" t="s">
        <v>1418</v>
      </c>
    </row>
    <row r="327" spans="1:17" s="65" customFormat="1" ht="30" x14ac:dyDescent="0.25">
      <c r="A327" s="49">
        <v>27</v>
      </c>
      <c r="B327" s="66" t="s">
        <v>980</v>
      </c>
      <c r="C327" s="67" t="s">
        <v>981</v>
      </c>
      <c r="D327" s="50" t="s">
        <v>982</v>
      </c>
      <c r="E327" s="44" t="s">
        <v>983</v>
      </c>
      <c r="F327" s="44" t="s">
        <v>984</v>
      </c>
      <c r="G327" s="44" t="s">
        <v>563</v>
      </c>
      <c r="H327" s="44"/>
      <c r="I327" s="44" t="s">
        <v>563</v>
      </c>
      <c r="J327" s="44" t="s">
        <v>563</v>
      </c>
      <c r="K327" s="44" t="s">
        <v>563</v>
      </c>
      <c r="L327" s="44" t="s">
        <v>985</v>
      </c>
      <c r="M327" s="44" t="s">
        <v>800</v>
      </c>
      <c r="N327" s="51"/>
      <c r="O327" s="51">
        <v>35000000</v>
      </c>
      <c r="P327" s="51"/>
      <c r="Q327" s="44" t="s">
        <v>641</v>
      </c>
    </row>
    <row r="328" spans="1:17" s="65" customFormat="1" ht="30" x14ac:dyDescent="0.25">
      <c r="A328" s="49">
        <v>28</v>
      </c>
      <c r="B328" s="49"/>
      <c r="C328" s="59" t="s">
        <v>986</v>
      </c>
      <c r="D328" s="50" t="s">
        <v>987</v>
      </c>
      <c r="E328" s="44" t="s">
        <v>988</v>
      </c>
      <c r="F328" s="44" t="s">
        <v>899</v>
      </c>
      <c r="G328" s="44" t="s">
        <v>563</v>
      </c>
      <c r="H328" s="44"/>
      <c r="I328" s="44" t="s">
        <v>563</v>
      </c>
      <c r="J328" s="44" t="s">
        <v>563</v>
      </c>
      <c r="K328" s="44" t="s">
        <v>563</v>
      </c>
      <c r="L328" s="44" t="s">
        <v>895</v>
      </c>
      <c r="M328" s="44" t="s">
        <v>989</v>
      </c>
      <c r="N328" s="51"/>
      <c r="O328" s="51">
        <v>2000000</v>
      </c>
      <c r="P328" s="51"/>
      <c r="Q328" s="44" t="s">
        <v>1072</v>
      </c>
    </row>
    <row r="329" spans="1:17" s="65" customFormat="1" ht="30" x14ac:dyDescent="0.25">
      <c r="A329" s="49">
        <v>29</v>
      </c>
      <c r="B329" s="49"/>
      <c r="C329" s="59" t="s">
        <v>845</v>
      </c>
      <c r="D329" s="50" t="s">
        <v>990</v>
      </c>
      <c r="E329" s="44" t="s">
        <v>991</v>
      </c>
      <c r="F329" s="44" t="s">
        <v>899</v>
      </c>
      <c r="G329" s="44" t="s">
        <v>49</v>
      </c>
      <c r="H329" s="44"/>
      <c r="I329" s="44" t="s">
        <v>49</v>
      </c>
      <c r="J329" s="44" t="s">
        <v>49</v>
      </c>
      <c r="K329" s="44" t="s">
        <v>49</v>
      </c>
      <c r="L329" s="44" t="s">
        <v>895</v>
      </c>
      <c r="M329" s="44" t="s">
        <v>992</v>
      </c>
      <c r="N329" s="51"/>
      <c r="O329" s="51">
        <v>3000000</v>
      </c>
      <c r="P329" s="51"/>
      <c r="Q329" s="44" t="s">
        <v>1072</v>
      </c>
    </row>
    <row r="330" spans="1:17" s="65" customFormat="1" ht="45" x14ac:dyDescent="0.25">
      <c r="A330" s="49">
        <v>30</v>
      </c>
      <c r="B330" s="49"/>
      <c r="C330" s="59" t="s">
        <v>845</v>
      </c>
      <c r="D330" s="50" t="s">
        <v>993</v>
      </c>
      <c r="E330" s="44" t="s">
        <v>994</v>
      </c>
      <c r="F330" s="44" t="s">
        <v>995</v>
      </c>
      <c r="G330" s="44" t="s">
        <v>49</v>
      </c>
      <c r="H330" s="44" t="s">
        <v>49</v>
      </c>
      <c r="I330" s="44"/>
      <c r="J330" s="44"/>
      <c r="K330" s="44"/>
      <c r="L330" s="44" t="s">
        <v>996</v>
      </c>
      <c r="M330" s="44" t="s">
        <v>997</v>
      </c>
      <c r="N330" s="51"/>
      <c r="O330" s="51">
        <v>15000000</v>
      </c>
      <c r="P330" s="51"/>
      <c r="Q330" s="44" t="s">
        <v>1072</v>
      </c>
    </row>
    <row r="331" spans="1:17" s="65" customFormat="1" ht="43.5" customHeight="1" x14ac:dyDescent="0.25">
      <c r="A331" s="49">
        <v>31</v>
      </c>
      <c r="B331" s="66" t="s">
        <v>998</v>
      </c>
      <c r="C331" s="354" t="s">
        <v>999</v>
      </c>
      <c r="D331" s="50" t="s">
        <v>1000</v>
      </c>
      <c r="E331" s="44" t="s">
        <v>1001</v>
      </c>
      <c r="F331" s="44" t="s">
        <v>787</v>
      </c>
      <c r="G331" s="44" t="s">
        <v>563</v>
      </c>
      <c r="H331" s="44" t="s">
        <v>563</v>
      </c>
      <c r="I331" s="44" t="s">
        <v>563</v>
      </c>
      <c r="J331" s="44" t="s">
        <v>563</v>
      </c>
      <c r="K331" s="44" t="s">
        <v>563</v>
      </c>
      <c r="L331" s="44" t="s">
        <v>1002</v>
      </c>
      <c r="M331" s="44" t="s">
        <v>806</v>
      </c>
      <c r="N331" s="51"/>
      <c r="O331" s="51">
        <v>5000000</v>
      </c>
      <c r="P331" s="51"/>
      <c r="Q331" s="60" t="s">
        <v>113</v>
      </c>
    </row>
    <row r="332" spans="1:17" s="65" customFormat="1" ht="41.25" customHeight="1" x14ac:dyDescent="0.25">
      <c r="A332" s="49">
        <v>32</v>
      </c>
      <c r="B332" s="357" t="s">
        <v>1003</v>
      </c>
      <c r="C332" s="354" t="s">
        <v>1004</v>
      </c>
      <c r="D332" s="50" t="s">
        <v>1005</v>
      </c>
      <c r="E332" s="44" t="s">
        <v>1006</v>
      </c>
      <c r="F332" s="44" t="s">
        <v>820</v>
      </c>
      <c r="G332" s="44" t="s">
        <v>563</v>
      </c>
      <c r="H332" s="44" t="s">
        <v>563</v>
      </c>
      <c r="I332" s="44" t="s">
        <v>563</v>
      </c>
      <c r="J332" s="44" t="s">
        <v>563</v>
      </c>
      <c r="K332" s="44" t="s">
        <v>563</v>
      </c>
      <c r="L332" s="44" t="s">
        <v>821</v>
      </c>
      <c r="M332" s="44" t="s">
        <v>1007</v>
      </c>
      <c r="N332" s="51"/>
      <c r="O332" s="51">
        <v>5000000</v>
      </c>
      <c r="P332" s="51"/>
      <c r="Q332" s="60" t="s">
        <v>113</v>
      </c>
    </row>
    <row r="333" spans="1:17" s="65" customFormat="1" ht="40.5" customHeight="1" x14ac:dyDescent="0.25">
      <c r="A333" s="49">
        <v>33</v>
      </c>
      <c r="B333" s="66" t="s">
        <v>998</v>
      </c>
      <c r="C333" s="354" t="s">
        <v>999</v>
      </c>
      <c r="D333" s="50" t="s">
        <v>1008</v>
      </c>
      <c r="E333" s="44" t="s">
        <v>1009</v>
      </c>
      <c r="F333" s="44" t="s">
        <v>1010</v>
      </c>
      <c r="G333" s="44" t="s">
        <v>563</v>
      </c>
      <c r="H333" s="44" t="s">
        <v>563</v>
      </c>
      <c r="I333" s="44" t="s">
        <v>563</v>
      </c>
      <c r="J333" s="44" t="s">
        <v>563</v>
      </c>
      <c r="K333" s="44" t="s">
        <v>563</v>
      </c>
      <c r="L333" s="44" t="s">
        <v>1011</v>
      </c>
      <c r="M333" s="44" t="s">
        <v>1012</v>
      </c>
      <c r="N333" s="51"/>
      <c r="O333" s="51">
        <v>10000000</v>
      </c>
      <c r="P333" s="51"/>
      <c r="Q333" s="60" t="s">
        <v>113</v>
      </c>
    </row>
    <row r="334" spans="1:17" s="65" customFormat="1" ht="30" x14ac:dyDescent="0.25">
      <c r="A334" s="49">
        <v>34</v>
      </c>
      <c r="B334" s="49"/>
      <c r="C334" s="54" t="s">
        <v>1013</v>
      </c>
      <c r="D334" s="62" t="s">
        <v>1014</v>
      </c>
      <c r="E334" s="44" t="s">
        <v>1015</v>
      </c>
      <c r="F334" s="44" t="s">
        <v>910</v>
      </c>
      <c r="G334" s="44" t="s">
        <v>49</v>
      </c>
      <c r="H334" s="44" t="s">
        <v>49</v>
      </c>
      <c r="I334" s="44" t="s">
        <v>49</v>
      </c>
      <c r="J334" s="44" t="s">
        <v>49</v>
      </c>
      <c r="K334" s="44" t="s">
        <v>49</v>
      </c>
      <c r="L334" s="44" t="s">
        <v>781</v>
      </c>
      <c r="M334" s="44" t="s">
        <v>1016</v>
      </c>
      <c r="N334" s="51"/>
      <c r="O334" s="51">
        <v>15000000</v>
      </c>
      <c r="P334" s="51"/>
      <c r="Q334" s="44" t="s">
        <v>1073</v>
      </c>
    </row>
    <row r="335" spans="1:17" s="65" customFormat="1" ht="57.75" x14ac:dyDescent="0.25">
      <c r="A335" s="49">
        <v>35</v>
      </c>
      <c r="B335" s="66" t="s">
        <v>1017</v>
      </c>
      <c r="C335" s="354" t="s">
        <v>1018</v>
      </c>
      <c r="D335" s="355" t="s">
        <v>1019</v>
      </c>
      <c r="E335" s="44" t="s">
        <v>1020</v>
      </c>
      <c r="F335" s="44" t="s">
        <v>820</v>
      </c>
      <c r="G335" s="44" t="s">
        <v>563</v>
      </c>
      <c r="H335" s="44" t="s">
        <v>563</v>
      </c>
      <c r="I335" s="44" t="s">
        <v>563</v>
      </c>
      <c r="J335" s="44" t="s">
        <v>563</v>
      </c>
      <c r="K335" s="44" t="s">
        <v>563</v>
      </c>
      <c r="L335" s="44" t="s">
        <v>1021</v>
      </c>
      <c r="M335" s="44" t="s">
        <v>1022</v>
      </c>
      <c r="N335" s="51"/>
      <c r="O335" s="51">
        <v>25000000</v>
      </c>
      <c r="P335" s="51"/>
      <c r="Q335" s="329" t="s">
        <v>169</v>
      </c>
    </row>
    <row r="336" spans="1:17" s="65" customFormat="1" ht="225" x14ac:dyDescent="0.25">
      <c r="A336" s="49">
        <v>36</v>
      </c>
      <c r="B336" s="66" t="s">
        <v>1023</v>
      </c>
      <c r="C336" s="354" t="s">
        <v>1024</v>
      </c>
      <c r="D336" s="50" t="s">
        <v>1025</v>
      </c>
      <c r="E336" s="44" t="s">
        <v>1026</v>
      </c>
      <c r="F336" s="44" t="s">
        <v>820</v>
      </c>
      <c r="G336" s="44" t="s">
        <v>563</v>
      </c>
      <c r="H336" s="44" t="s">
        <v>563</v>
      </c>
      <c r="I336" s="44" t="s">
        <v>563</v>
      </c>
      <c r="J336" s="44" t="s">
        <v>563</v>
      </c>
      <c r="K336" s="44" t="s">
        <v>563</v>
      </c>
      <c r="L336" s="44" t="s">
        <v>1027</v>
      </c>
      <c r="M336" s="44" t="s">
        <v>2365</v>
      </c>
      <c r="N336" s="51"/>
      <c r="O336" s="51">
        <v>28000000</v>
      </c>
      <c r="P336" s="51"/>
      <c r="Q336" s="329" t="s">
        <v>169</v>
      </c>
    </row>
    <row r="337" spans="1:17" s="65" customFormat="1" ht="102" customHeight="1" x14ac:dyDescent="0.25">
      <c r="A337" s="49">
        <v>37</v>
      </c>
      <c r="B337" s="49"/>
      <c r="C337" s="59" t="s">
        <v>1028</v>
      </c>
      <c r="D337" s="50" t="s">
        <v>1029</v>
      </c>
      <c r="E337" s="50" t="s">
        <v>1030</v>
      </c>
      <c r="F337" s="44" t="s">
        <v>787</v>
      </c>
      <c r="G337" s="44" t="s">
        <v>563</v>
      </c>
      <c r="H337" s="44" t="s">
        <v>563</v>
      </c>
      <c r="I337" s="44" t="s">
        <v>563</v>
      </c>
      <c r="J337" s="44" t="s">
        <v>563</v>
      </c>
      <c r="K337" s="44" t="s">
        <v>563</v>
      </c>
      <c r="L337" s="44" t="s">
        <v>985</v>
      </c>
      <c r="M337" s="44" t="s">
        <v>1031</v>
      </c>
      <c r="N337" s="51"/>
      <c r="O337" s="51">
        <v>20000000</v>
      </c>
      <c r="P337" s="51"/>
      <c r="Q337" s="44" t="s">
        <v>641</v>
      </c>
    </row>
    <row r="338" spans="1:17" s="65" customFormat="1" ht="45" x14ac:dyDescent="0.25">
      <c r="A338" s="49">
        <v>38</v>
      </c>
      <c r="B338" s="66" t="s">
        <v>1033</v>
      </c>
      <c r="C338" s="67" t="s">
        <v>314</v>
      </c>
      <c r="D338" s="63" t="s">
        <v>1034</v>
      </c>
      <c r="E338" s="44" t="s">
        <v>1035</v>
      </c>
      <c r="F338" s="44" t="s">
        <v>820</v>
      </c>
      <c r="G338" s="44" t="s">
        <v>563</v>
      </c>
      <c r="H338" s="44" t="s">
        <v>563</v>
      </c>
      <c r="I338" s="44" t="s">
        <v>563</v>
      </c>
      <c r="J338" s="44" t="s">
        <v>563</v>
      </c>
      <c r="K338" s="44" t="s">
        <v>563</v>
      </c>
      <c r="L338" s="44" t="s">
        <v>1036</v>
      </c>
      <c r="M338" s="44" t="s">
        <v>1037</v>
      </c>
      <c r="N338" s="51"/>
      <c r="O338" s="51">
        <v>75000000</v>
      </c>
      <c r="P338" s="51"/>
      <c r="Q338" s="44" t="s">
        <v>200</v>
      </c>
    </row>
    <row r="339" spans="1:17" s="65" customFormat="1" ht="30" x14ac:dyDescent="0.25">
      <c r="A339" s="49">
        <v>39</v>
      </c>
      <c r="B339" s="66" t="s">
        <v>1038</v>
      </c>
      <c r="C339" s="67" t="s">
        <v>1039</v>
      </c>
      <c r="D339" s="62" t="s">
        <v>1040</v>
      </c>
      <c r="E339" s="44" t="s">
        <v>1041</v>
      </c>
      <c r="F339" s="44" t="s">
        <v>820</v>
      </c>
      <c r="G339" s="44" t="s">
        <v>563</v>
      </c>
      <c r="H339" s="44" t="s">
        <v>563</v>
      </c>
      <c r="I339" s="44" t="s">
        <v>563</v>
      </c>
      <c r="J339" s="44" t="s">
        <v>563</v>
      </c>
      <c r="K339" s="44" t="s">
        <v>563</v>
      </c>
      <c r="L339" s="44" t="s">
        <v>138</v>
      </c>
      <c r="M339" s="44" t="s">
        <v>1042</v>
      </c>
      <c r="N339" s="51"/>
      <c r="O339" s="51">
        <v>750000000</v>
      </c>
      <c r="P339" s="51"/>
      <c r="Q339" s="44" t="s">
        <v>200</v>
      </c>
    </row>
    <row r="340" spans="1:17" s="65" customFormat="1" ht="45" x14ac:dyDescent="0.25">
      <c r="A340" s="49">
        <v>40</v>
      </c>
      <c r="B340" s="66" t="s">
        <v>1043</v>
      </c>
      <c r="C340" s="67" t="s">
        <v>1044</v>
      </c>
      <c r="D340" s="50" t="s">
        <v>1045</v>
      </c>
      <c r="E340" s="50" t="s">
        <v>1046</v>
      </c>
      <c r="F340" s="44" t="s">
        <v>820</v>
      </c>
      <c r="G340" s="44" t="s">
        <v>563</v>
      </c>
      <c r="H340" s="44" t="s">
        <v>563</v>
      </c>
      <c r="I340" s="44" t="s">
        <v>563</v>
      </c>
      <c r="J340" s="44" t="s">
        <v>563</v>
      </c>
      <c r="K340" s="44" t="s">
        <v>563</v>
      </c>
      <c r="L340" s="44" t="s">
        <v>1047</v>
      </c>
      <c r="M340" s="44" t="s">
        <v>1048</v>
      </c>
      <c r="N340" s="51"/>
      <c r="O340" s="51">
        <v>2000000000</v>
      </c>
      <c r="P340" s="51"/>
      <c r="Q340" s="44" t="s">
        <v>200</v>
      </c>
    </row>
    <row r="341" spans="1:17" s="65" customFormat="1" ht="135" x14ac:dyDescent="0.25">
      <c r="A341" s="49">
        <v>41</v>
      </c>
      <c r="B341" s="44" t="s">
        <v>1049</v>
      </c>
      <c r="C341" s="59" t="s">
        <v>785</v>
      </c>
      <c r="D341" s="63" t="s">
        <v>1050</v>
      </c>
      <c r="E341" s="44" t="s">
        <v>786</v>
      </c>
      <c r="F341" s="44" t="s">
        <v>820</v>
      </c>
      <c r="G341" s="44" t="s">
        <v>563</v>
      </c>
      <c r="H341" s="44" t="s">
        <v>563</v>
      </c>
      <c r="I341" s="44" t="s">
        <v>563</v>
      </c>
      <c r="J341" s="44" t="s">
        <v>563</v>
      </c>
      <c r="K341" s="44" t="s">
        <v>563</v>
      </c>
      <c r="L341" s="44" t="s">
        <v>1051</v>
      </c>
      <c r="M341" s="44" t="s">
        <v>1052</v>
      </c>
      <c r="N341" s="51"/>
      <c r="O341" s="51">
        <v>264450000</v>
      </c>
      <c r="P341" s="51"/>
      <c r="Q341" s="44" t="s">
        <v>200</v>
      </c>
    </row>
    <row r="342" spans="1:17" s="65" customFormat="1" ht="45" x14ac:dyDescent="0.25">
      <c r="A342" s="49">
        <v>42</v>
      </c>
      <c r="B342" s="49" t="s">
        <v>1053</v>
      </c>
      <c r="C342" s="59" t="s">
        <v>1054</v>
      </c>
      <c r="D342" s="63" t="s">
        <v>1055</v>
      </c>
      <c r="E342" s="50" t="s">
        <v>1056</v>
      </c>
      <c r="F342" s="44" t="s">
        <v>820</v>
      </c>
      <c r="G342" s="44" t="s">
        <v>563</v>
      </c>
      <c r="H342" s="44" t="s">
        <v>563</v>
      </c>
      <c r="I342" s="44" t="s">
        <v>563</v>
      </c>
      <c r="J342" s="44" t="s">
        <v>563</v>
      </c>
      <c r="K342" s="44" t="s">
        <v>563</v>
      </c>
      <c r="L342" s="44" t="s">
        <v>1057</v>
      </c>
      <c r="M342" s="44" t="s">
        <v>1058</v>
      </c>
      <c r="N342" s="51"/>
      <c r="O342" s="51">
        <v>25000000</v>
      </c>
      <c r="P342" s="51"/>
      <c r="Q342" s="44" t="s">
        <v>200</v>
      </c>
    </row>
    <row r="343" spans="1:17" s="65" customFormat="1" ht="30" x14ac:dyDescent="0.25">
      <c r="A343" s="49">
        <v>43</v>
      </c>
      <c r="B343" s="49"/>
      <c r="C343" s="59" t="s">
        <v>845</v>
      </c>
      <c r="D343" s="50" t="s">
        <v>1059</v>
      </c>
      <c r="E343" s="50" t="s">
        <v>1060</v>
      </c>
      <c r="F343" s="44" t="s">
        <v>820</v>
      </c>
      <c r="G343" s="44" t="s">
        <v>563</v>
      </c>
      <c r="H343" s="44" t="s">
        <v>563</v>
      </c>
      <c r="I343" s="44" t="s">
        <v>563</v>
      </c>
      <c r="J343" s="44" t="s">
        <v>563</v>
      </c>
      <c r="K343" s="44" t="s">
        <v>563</v>
      </c>
      <c r="L343" s="44" t="s">
        <v>821</v>
      </c>
      <c r="M343" s="44" t="s">
        <v>943</v>
      </c>
      <c r="N343" s="51"/>
      <c r="O343" s="51">
        <v>20000000</v>
      </c>
      <c r="P343" s="51"/>
      <c r="Q343" s="44" t="s">
        <v>200</v>
      </c>
    </row>
    <row r="344" spans="1:17" s="65" customFormat="1" ht="45" x14ac:dyDescent="0.25">
      <c r="A344" s="49">
        <v>44</v>
      </c>
      <c r="B344" s="357" t="s">
        <v>1061</v>
      </c>
      <c r="C344" s="67" t="s">
        <v>357</v>
      </c>
      <c r="D344" s="63" t="s">
        <v>1062</v>
      </c>
      <c r="E344" s="44" t="s">
        <v>1035</v>
      </c>
      <c r="F344" s="44" t="s">
        <v>820</v>
      </c>
      <c r="G344" s="44" t="s">
        <v>563</v>
      </c>
      <c r="H344" s="44" t="s">
        <v>563</v>
      </c>
      <c r="I344" s="44" t="s">
        <v>563</v>
      </c>
      <c r="J344" s="44" t="s">
        <v>563</v>
      </c>
      <c r="K344" s="44" t="s">
        <v>563</v>
      </c>
      <c r="L344" s="44" t="s">
        <v>1063</v>
      </c>
      <c r="M344" s="44" t="s">
        <v>1064</v>
      </c>
      <c r="N344" s="51"/>
      <c r="O344" s="51">
        <v>90000000</v>
      </c>
      <c r="P344" s="51"/>
      <c r="Q344" s="44" t="s">
        <v>200</v>
      </c>
    </row>
    <row r="345" spans="1:17" s="65" customFormat="1" ht="45" x14ac:dyDescent="0.25">
      <c r="A345" s="49">
        <v>45</v>
      </c>
      <c r="B345" s="66" t="s">
        <v>1069</v>
      </c>
      <c r="C345" s="354" t="s">
        <v>1070</v>
      </c>
      <c r="D345" s="44" t="s">
        <v>1071</v>
      </c>
      <c r="E345" s="44"/>
      <c r="F345" s="44" t="s">
        <v>787</v>
      </c>
      <c r="G345" s="44" t="s">
        <v>49</v>
      </c>
      <c r="H345" s="44" t="s">
        <v>49</v>
      </c>
      <c r="I345" s="44" t="s">
        <v>49</v>
      </c>
      <c r="J345" s="44" t="s">
        <v>49</v>
      </c>
      <c r="K345" s="44" t="s">
        <v>49</v>
      </c>
      <c r="L345" s="44" t="s">
        <v>781</v>
      </c>
      <c r="M345" s="64"/>
      <c r="N345" s="51"/>
      <c r="O345" s="51">
        <v>11700000</v>
      </c>
      <c r="P345" s="51"/>
      <c r="Q345" s="44" t="s">
        <v>200</v>
      </c>
    </row>
    <row r="346" spans="1:17" s="65" customFormat="1" ht="30" x14ac:dyDescent="0.25">
      <c r="A346" s="49">
        <v>46</v>
      </c>
      <c r="B346" s="49"/>
      <c r="C346" s="54" t="s">
        <v>845</v>
      </c>
      <c r="D346" s="50" t="s">
        <v>1065</v>
      </c>
      <c r="E346" s="44" t="s">
        <v>1066</v>
      </c>
      <c r="F346" s="44" t="s">
        <v>820</v>
      </c>
      <c r="G346" s="44" t="s">
        <v>563</v>
      </c>
      <c r="H346" s="44" t="s">
        <v>563</v>
      </c>
      <c r="I346" s="44" t="s">
        <v>563</v>
      </c>
      <c r="J346" s="44" t="s">
        <v>563</v>
      </c>
      <c r="K346" s="44" t="s">
        <v>563</v>
      </c>
      <c r="L346" s="44" t="s">
        <v>1067</v>
      </c>
      <c r="M346" s="44" t="s">
        <v>455</v>
      </c>
      <c r="N346" s="51"/>
      <c r="O346" s="51"/>
      <c r="P346" s="51">
        <v>9000000</v>
      </c>
      <c r="Q346" s="44" t="s">
        <v>1068</v>
      </c>
    </row>
    <row r="347" spans="1:17" s="80" customFormat="1" ht="15.75" customHeight="1" x14ac:dyDescent="0.2">
      <c r="A347" s="149"/>
      <c r="B347" s="149"/>
      <c r="C347" s="149"/>
      <c r="D347" s="97"/>
      <c r="E347" s="97"/>
      <c r="F347" s="97"/>
      <c r="G347" s="149"/>
      <c r="H347" s="149"/>
      <c r="I347" s="149"/>
      <c r="J347" s="149"/>
      <c r="K347" s="149"/>
      <c r="L347" s="97"/>
      <c r="M347" s="149"/>
      <c r="N347" s="149"/>
      <c r="O347" s="149"/>
      <c r="P347" s="149"/>
      <c r="Q347" s="149"/>
    </row>
    <row r="348" spans="1:17" s="80" customFormat="1" ht="15.75" customHeight="1" x14ac:dyDescent="0.25">
      <c r="A348" s="828" t="s">
        <v>41</v>
      </c>
      <c r="B348" s="826"/>
      <c r="C348" s="826"/>
      <c r="D348" s="826"/>
      <c r="E348" s="826"/>
      <c r="F348" s="826"/>
      <c r="G348" s="826"/>
      <c r="H348" s="826"/>
      <c r="I348" s="826"/>
      <c r="J348" s="826"/>
      <c r="K348" s="826"/>
      <c r="L348" s="826"/>
      <c r="M348" s="826"/>
      <c r="N348" s="826"/>
      <c r="O348" s="826"/>
      <c r="P348" s="826"/>
      <c r="Q348" s="827"/>
    </row>
    <row r="349" spans="1:17" s="65" customFormat="1" ht="61.15" customHeight="1" x14ac:dyDescent="0.25">
      <c r="A349" s="49">
        <v>1</v>
      </c>
      <c r="B349" s="49" t="s">
        <v>531</v>
      </c>
      <c r="C349" s="53" t="s">
        <v>1074</v>
      </c>
      <c r="D349" s="350" t="s">
        <v>1075</v>
      </c>
      <c r="E349" s="44" t="s">
        <v>1076</v>
      </c>
      <c r="F349" s="44" t="s">
        <v>1077</v>
      </c>
      <c r="G349" s="44" t="s">
        <v>563</v>
      </c>
      <c r="H349" s="44" t="s">
        <v>563</v>
      </c>
      <c r="I349" s="44" t="s">
        <v>563</v>
      </c>
      <c r="J349" s="44" t="s">
        <v>563</v>
      </c>
      <c r="K349" s="44" t="s">
        <v>563</v>
      </c>
      <c r="L349" s="44" t="s">
        <v>781</v>
      </c>
      <c r="M349" s="44" t="s">
        <v>1078</v>
      </c>
      <c r="N349" s="51">
        <v>28035000</v>
      </c>
      <c r="O349" s="51"/>
      <c r="P349" s="51"/>
      <c r="Q349" s="51"/>
    </row>
    <row r="350" spans="1:17" s="65" customFormat="1" ht="45" x14ac:dyDescent="0.25">
      <c r="A350" s="49">
        <v>2</v>
      </c>
      <c r="B350" s="49" t="s">
        <v>531</v>
      </c>
      <c r="C350" s="53" t="s">
        <v>1074</v>
      </c>
      <c r="D350" s="357" t="s">
        <v>1079</v>
      </c>
      <c r="E350" s="44" t="s">
        <v>1080</v>
      </c>
      <c r="F350" s="44" t="s">
        <v>192</v>
      </c>
      <c r="G350" s="44"/>
      <c r="H350" s="44"/>
      <c r="I350" s="44"/>
      <c r="J350" s="44"/>
      <c r="K350" s="44" t="s">
        <v>49</v>
      </c>
      <c r="L350" s="44" t="s">
        <v>781</v>
      </c>
      <c r="M350" s="44" t="s">
        <v>1081</v>
      </c>
      <c r="N350" s="51">
        <v>5000000</v>
      </c>
      <c r="O350" s="51"/>
      <c r="P350" s="51"/>
      <c r="Q350" s="51"/>
    </row>
    <row r="351" spans="1:17" s="65" customFormat="1" ht="45" x14ac:dyDescent="0.25">
      <c r="A351" s="49">
        <v>3</v>
      </c>
      <c r="B351" s="49" t="s">
        <v>531</v>
      </c>
      <c r="C351" s="53" t="s">
        <v>1074</v>
      </c>
      <c r="D351" s="350" t="s">
        <v>1082</v>
      </c>
      <c r="E351" s="44" t="s">
        <v>1083</v>
      </c>
      <c r="F351" s="44" t="s">
        <v>1084</v>
      </c>
      <c r="G351" s="44"/>
      <c r="H351" s="44" t="s">
        <v>49</v>
      </c>
      <c r="I351" s="44"/>
      <c r="J351" s="44"/>
      <c r="K351" s="44"/>
      <c r="L351" s="44" t="s">
        <v>781</v>
      </c>
      <c r="M351" s="44" t="s">
        <v>1081</v>
      </c>
      <c r="N351" s="51">
        <v>5000000</v>
      </c>
      <c r="O351" s="51"/>
      <c r="P351" s="51"/>
      <c r="Q351" s="51"/>
    </row>
    <row r="352" spans="1:17" s="65" customFormat="1" ht="45" x14ac:dyDescent="0.25">
      <c r="A352" s="49">
        <v>4</v>
      </c>
      <c r="B352" s="49" t="s">
        <v>531</v>
      </c>
      <c r="C352" s="53" t="s">
        <v>1074</v>
      </c>
      <c r="D352" s="350" t="s">
        <v>1085</v>
      </c>
      <c r="E352" s="44" t="s">
        <v>1086</v>
      </c>
      <c r="F352" s="44" t="s">
        <v>1087</v>
      </c>
      <c r="G352" s="44" t="s">
        <v>563</v>
      </c>
      <c r="H352" s="44"/>
      <c r="I352" s="44"/>
      <c r="J352" s="44"/>
      <c r="K352" s="44"/>
      <c r="L352" s="44" t="s">
        <v>781</v>
      </c>
      <c r="M352" s="44" t="s">
        <v>1081</v>
      </c>
      <c r="N352" s="51">
        <v>10000000</v>
      </c>
      <c r="O352" s="51"/>
      <c r="P352" s="51"/>
      <c r="Q352" s="51"/>
    </row>
    <row r="353" spans="1:17" s="65" customFormat="1" ht="45" x14ac:dyDescent="0.25">
      <c r="A353" s="49">
        <v>5</v>
      </c>
      <c r="B353" s="49" t="s">
        <v>531</v>
      </c>
      <c r="C353" s="53" t="s">
        <v>1074</v>
      </c>
      <c r="D353" s="357" t="s">
        <v>1088</v>
      </c>
      <c r="E353" s="44" t="s">
        <v>1089</v>
      </c>
      <c r="F353" s="44" t="s">
        <v>820</v>
      </c>
      <c r="G353" s="44" t="s">
        <v>49</v>
      </c>
      <c r="H353" s="44" t="s">
        <v>49</v>
      </c>
      <c r="I353" s="44" t="s">
        <v>49</v>
      </c>
      <c r="J353" s="44" t="s">
        <v>49</v>
      </c>
      <c r="K353" s="44" t="s">
        <v>49</v>
      </c>
      <c r="L353" s="44" t="s">
        <v>781</v>
      </c>
      <c r="M353" s="44" t="s">
        <v>1081</v>
      </c>
      <c r="N353" s="51">
        <v>3000000</v>
      </c>
      <c r="O353" s="51"/>
      <c r="P353" s="51"/>
      <c r="Q353" s="51"/>
    </row>
    <row r="354" spans="1:17" s="65" customFormat="1" ht="45" x14ac:dyDescent="0.25">
      <c r="A354" s="49">
        <v>6</v>
      </c>
      <c r="B354" s="49" t="s">
        <v>531</v>
      </c>
      <c r="C354" s="53" t="s">
        <v>1074</v>
      </c>
      <c r="D354" s="357" t="s">
        <v>1090</v>
      </c>
      <c r="E354" s="44" t="s">
        <v>1089</v>
      </c>
      <c r="F354" s="44" t="s">
        <v>820</v>
      </c>
      <c r="G354" s="44" t="s">
        <v>49</v>
      </c>
      <c r="H354" s="44" t="s">
        <v>49</v>
      </c>
      <c r="I354" s="44" t="s">
        <v>49</v>
      </c>
      <c r="J354" s="44" t="s">
        <v>49</v>
      </c>
      <c r="K354" s="44" t="s">
        <v>49</v>
      </c>
      <c r="L354" s="44" t="s">
        <v>781</v>
      </c>
      <c r="M354" s="44" t="s">
        <v>1081</v>
      </c>
      <c r="N354" s="51">
        <v>9000000</v>
      </c>
      <c r="O354" s="51"/>
      <c r="P354" s="51"/>
      <c r="Q354" s="51"/>
    </row>
    <row r="355" spans="1:17" s="65" customFormat="1" ht="45" x14ac:dyDescent="0.25">
      <c r="A355" s="49">
        <v>7</v>
      </c>
      <c r="B355" s="49" t="s">
        <v>531</v>
      </c>
      <c r="C355" s="53" t="s">
        <v>1074</v>
      </c>
      <c r="D355" s="357" t="s">
        <v>1091</v>
      </c>
      <c r="E355" s="44" t="s">
        <v>1092</v>
      </c>
      <c r="F355" s="44" t="s">
        <v>820</v>
      </c>
      <c r="G355" s="44" t="s">
        <v>49</v>
      </c>
      <c r="H355" s="44" t="s">
        <v>49</v>
      </c>
      <c r="I355" s="44" t="s">
        <v>49</v>
      </c>
      <c r="J355" s="44" t="s">
        <v>49</v>
      </c>
      <c r="K355" s="44" t="s">
        <v>49</v>
      </c>
      <c r="L355" s="44" t="s">
        <v>1093</v>
      </c>
      <c r="M355" s="44" t="s">
        <v>1094</v>
      </c>
      <c r="N355" s="51">
        <v>7200000</v>
      </c>
      <c r="O355" s="51"/>
      <c r="P355" s="51"/>
      <c r="Q355" s="51"/>
    </row>
    <row r="356" spans="1:17" s="65" customFormat="1" ht="45" x14ac:dyDescent="0.25">
      <c r="A356" s="49">
        <v>8</v>
      </c>
      <c r="B356" s="49" t="s">
        <v>531</v>
      </c>
      <c r="C356" s="53" t="s">
        <v>1074</v>
      </c>
      <c r="D356" s="357" t="s">
        <v>1095</v>
      </c>
      <c r="E356" s="44" t="s">
        <v>1096</v>
      </c>
      <c r="F356" s="44" t="s">
        <v>820</v>
      </c>
      <c r="G356" s="44" t="s">
        <v>49</v>
      </c>
      <c r="H356" s="44" t="s">
        <v>49</v>
      </c>
      <c r="I356" s="44" t="s">
        <v>49</v>
      </c>
      <c r="J356" s="44" t="s">
        <v>49</v>
      </c>
      <c r="K356" s="44" t="s">
        <v>49</v>
      </c>
      <c r="L356" s="44" t="s">
        <v>781</v>
      </c>
      <c r="M356" s="44" t="s">
        <v>1081</v>
      </c>
      <c r="N356" s="51">
        <v>6000000</v>
      </c>
      <c r="O356" s="51"/>
      <c r="P356" s="51"/>
      <c r="Q356" s="51"/>
    </row>
    <row r="357" spans="1:17" s="65" customFormat="1" ht="45" x14ac:dyDescent="0.25">
      <c r="A357" s="49">
        <v>9</v>
      </c>
      <c r="B357" s="49" t="s">
        <v>531</v>
      </c>
      <c r="C357" s="53" t="s">
        <v>1074</v>
      </c>
      <c r="D357" s="357" t="s">
        <v>1097</v>
      </c>
      <c r="E357" s="44" t="s">
        <v>1098</v>
      </c>
      <c r="F357" s="44" t="s">
        <v>1099</v>
      </c>
      <c r="G357" s="44" t="s">
        <v>49</v>
      </c>
      <c r="H357" s="44" t="s">
        <v>49</v>
      </c>
      <c r="I357" s="44" t="s">
        <v>49</v>
      </c>
      <c r="J357" s="44" t="s">
        <v>49</v>
      </c>
      <c r="K357" s="44" t="s">
        <v>49</v>
      </c>
      <c r="L357" s="44" t="s">
        <v>922</v>
      </c>
      <c r="M357" s="64" t="s">
        <v>1100</v>
      </c>
      <c r="N357" s="51">
        <v>16800000</v>
      </c>
      <c r="O357" s="51"/>
      <c r="P357" s="51"/>
      <c r="Q357" s="51"/>
    </row>
    <row r="358" spans="1:17" s="65" customFormat="1" ht="53.45" customHeight="1" x14ac:dyDescent="0.25">
      <c r="A358" s="49">
        <v>10</v>
      </c>
      <c r="B358" s="49" t="s">
        <v>531</v>
      </c>
      <c r="C358" s="53" t="s">
        <v>1074</v>
      </c>
      <c r="D358" s="50" t="s">
        <v>1101</v>
      </c>
      <c r="E358" s="44" t="s">
        <v>1102</v>
      </c>
      <c r="F358" s="44" t="s">
        <v>1103</v>
      </c>
      <c r="G358" s="44" t="s">
        <v>49</v>
      </c>
      <c r="H358" s="44" t="s">
        <v>49</v>
      </c>
      <c r="I358" s="44" t="s">
        <v>49</v>
      </c>
      <c r="J358" s="44" t="s">
        <v>49</v>
      </c>
      <c r="K358" s="44" t="s">
        <v>49</v>
      </c>
      <c r="L358" s="44" t="s">
        <v>781</v>
      </c>
      <c r="M358" s="44" t="s">
        <v>1104</v>
      </c>
      <c r="N358" s="51">
        <v>45700000</v>
      </c>
      <c r="O358" s="51"/>
      <c r="P358" s="51"/>
      <c r="Q358" s="51"/>
    </row>
    <row r="359" spans="1:17" s="65" customFormat="1" ht="30" x14ac:dyDescent="0.25">
      <c r="A359" s="49">
        <v>11</v>
      </c>
      <c r="B359" s="49"/>
      <c r="C359" s="53" t="s">
        <v>1105</v>
      </c>
      <c r="D359" s="44" t="s">
        <v>1106</v>
      </c>
      <c r="E359" s="44" t="s">
        <v>1107</v>
      </c>
      <c r="F359" s="44" t="s">
        <v>1108</v>
      </c>
      <c r="G359" s="44" t="s">
        <v>49</v>
      </c>
      <c r="H359" s="44" t="s">
        <v>49</v>
      </c>
      <c r="I359" s="44" t="s">
        <v>49</v>
      </c>
      <c r="J359" s="44" t="s">
        <v>49</v>
      </c>
      <c r="K359" s="44" t="s">
        <v>49</v>
      </c>
      <c r="L359" s="44" t="s">
        <v>781</v>
      </c>
      <c r="M359" s="64"/>
      <c r="N359" s="51">
        <v>12000000</v>
      </c>
      <c r="O359" s="51"/>
      <c r="P359" s="51"/>
      <c r="Q359" s="51"/>
    </row>
    <row r="360" spans="1:17" s="65" customFormat="1" ht="30" x14ac:dyDescent="0.25">
      <c r="A360" s="49">
        <v>12</v>
      </c>
      <c r="B360" s="49"/>
      <c r="C360" s="53" t="s">
        <v>1105</v>
      </c>
      <c r="D360" s="44" t="s">
        <v>1109</v>
      </c>
      <c r="E360" s="44"/>
      <c r="F360" s="44"/>
      <c r="G360" s="44" t="s">
        <v>49</v>
      </c>
      <c r="H360" s="44" t="s">
        <v>49</v>
      </c>
      <c r="I360" s="44" t="s">
        <v>49</v>
      </c>
      <c r="J360" s="44" t="s">
        <v>49</v>
      </c>
      <c r="K360" s="44" t="s">
        <v>49</v>
      </c>
      <c r="L360" s="44" t="s">
        <v>781</v>
      </c>
      <c r="M360" s="64"/>
      <c r="N360" s="51">
        <v>40381716</v>
      </c>
      <c r="O360" s="51"/>
      <c r="P360" s="51"/>
      <c r="Q360" s="51"/>
    </row>
    <row r="361" spans="1:17" s="363" customFormat="1" x14ac:dyDescent="0.25">
      <c r="A361" s="71"/>
      <c r="B361" s="72"/>
      <c r="C361" s="73"/>
      <c r="D361" s="74"/>
      <c r="E361" s="74"/>
      <c r="F361" s="74"/>
      <c r="G361" s="74"/>
      <c r="H361" s="74"/>
      <c r="I361" s="74"/>
      <c r="J361" s="74"/>
      <c r="K361" s="74"/>
      <c r="L361" s="74"/>
      <c r="M361" s="75"/>
      <c r="N361" s="76"/>
      <c r="O361" s="76"/>
      <c r="P361" s="76"/>
      <c r="Q361" s="77"/>
    </row>
    <row r="362" spans="1:17" s="364" customFormat="1" ht="18.75" x14ac:dyDescent="0.25">
      <c r="A362" s="833" t="s">
        <v>2366</v>
      </c>
      <c r="B362" s="834"/>
      <c r="C362" s="834"/>
      <c r="D362" s="834"/>
      <c r="E362" s="834"/>
      <c r="F362" s="834"/>
      <c r="G362" s="834"/>
      <c r="H362" s="834"/>
      <c r="I362" s="834"/>
      <c r="J362" s="834"/>
      <c r="K362" s="834"/>
      <c r="L362" s="834"/>
      <c r="M362" s="834"/>
      <c r="N362" s="834"/>
      <c r="O362" s="834"/>
      <c r="P362" s="834"/>
      <c r="Q362" s="834"/>
    </row>
    <row r="363" spans="1:17" s="342" customFormat="1" ht="15.75" customHeight="1" x14ac:dyDescent="0.25">
      <c r="A363" s="365"/>
      <c r="B363" s="365"/>
      <c r="C363" s="365"/>
      <c r="D363" s="365"/>
      <c r="E363" s="365"/>
      <c r="F363" s="365"/>
      <c r="G363" s="365"/>
      <c r="H363" s="365"/>
      <c r="I363" s="365"/>
      <c r="J363" s="365"/>
      <c r="K363" s="365"/>
      <c r="L363" s="365"/>
      <c r="M363" s="365"/>
      <c r="N363" s="366"/>
      <c r="O363" s="366"/>
      <c r="P363" s="366"/>
      <c r="Q363" s="365"/>
    </row>
    <row r="364" spans="1:17" s="80" customFormat="1" ht="15" customHeight="1" x14ac:dyDescent="0.2">
      <c r="A364" s="836" t="s">
        <v>0</v>
      </c>
      <c r="B364" s="838" t="s">
        <v>1110</v>
      </c>
      <c r="C364" s="839" t="s">
        <v>1111</v>
      </c>
      <c r="D364" s="839" t="s">
        <v>3</v>
      </c>
      <c r="E364" s="836" t="s">
        <v>4</v>
      </c>
      <c r="F364" s="846" t="s">
        <v>5</v>
      </c>
      <c r="G364" s="829"/>
      <c r="H364" s="829"/>
      <c r="I364" s="829"/>
      <c r="J364" s="829"/>
      <c r="K364" s="830"/>
      <c r="L364" s="839" t="s">
        <v>1112</v>
      </c>
      <c r="M364" s="839" t="s">
        <v>7</v>
      </c>
      <c r="N364" s="847" t="s">
        <v>8</v>
      </c>
      <c r="O364" s="829"/>
      <c r="P364" s="830"/>
      <c r="Q364" s="836" t="s">
        <v>9</v>
      </c>
    </row>
    <row r="365" spans="1:17" s="80" customFormat="1" ht="47.25" customHeight="1" x14ac:dyDescent="0.2">
      <c r="A365" s="837"/>
      <c r="B365" s="837"/>
      <c r="C365" s="837"/>
      <c r="D365" s="837"/>
      <c r="E365" s="837"/>
      <c r="F365" s="836" t="s">
        <v>1113</v>
      </c>
      <c r="G365" s="129" t="s">
        <v>11</v>
      </c>
      <c r="H365" s="129" t="s">
        <v>12</v>
      </c>
      <c r="I365" s="129" t="s">
        <v>13</v>
      </c>
      <c r="J365" s="129" t="s">
        <v>14</v>
      </c>
      <c r="K365" s="129" t="s">
        <v>15</v>
      </c>
      <c r="L365" s="837"/>
      <c r="M365" s="837"/>
      <c r="N365" s="823" t="s">
        <v>16</v>
      </c>
      <c r="O365" s="823" t="s">
        <v>17</v>
      </c>
      <c r="P365" s="823" t="s">
        <v>18</v>
      </c>
      <c r="Q365" s="837"/>
    </row>
    <row r="366" spans="1:17" s="80" customFormat="1" ht="23.25" customHeight="1" x14ac:dyDescent="0.2">
      <c r="A366" s="831"/>
      <c r="B366" s="831"/>
      <c r="C366" s="831"/>
      <c r="D366" s="831"/>
      <c r="E366" s="831"/>
      <c r="F366" s="831"/>
      <c r="G366" s="832" t="s">
        <v>19</v>
      </c>
      <c r="H366" s="829"/>
      <c r="I366" s="829"/>
      <c r="J366" s="829"/>
      <c r="K366" s="830"/>
      <c r="L366" s="831"/>
      <c r="M366" s="831"/>
      <c r="N366" s="831"/>
      <c r="O366" s="831"/>
      <c r="P366" s="831"/>
      <c r="Q366" s="831"/>
    </row>
    <row r="367" spans="1:17" s="80" customFormat="1" ht="20.25" customHeight="1" x14ac:dyDescent="0.2">
      <c r="A367" s="131" t="s">
        <v>20</v>
      </c>
      <c r="B367" s="131" t="s">
        <v>21</v>
      </c>
      <c r="C367" s="131" t="s">
        <v>22</v>
      </c>
      <c r="D367" s="131" t="s">
        <v>23</v>
      </c>
      <c r="E367" s="131" t="s">
        <v>24</v>
      </c>
      <c r="F367" s="131" t="s">
        <v>25</v>
      </c>
      <c r="G367" s="131" t="s">
        <v>26</v>
      </c>
      <c r="H367" s="131" t="s">
        <v>27</v>
      </c>
      <c r="I367" s="131" t="s">
        <v>28</v>
      </c>
      <c r="J367" s="131" t="s">
        <v>29</v>
      </c>
      <c r="K367" s="131" t="s">
        <v>30</v>
      </c>
      <c r="L367" s="131" t="s">
        <v>31</v>
      </c>
      <c r="M367" s="132" t="s">
        <v>32</v>
      </c>
      <c r="N367" s="131" t="s">
        <v>33</v>
      </c>
      <c r="O367" s="131" t="s">
        <v>34</v>
      </c>
      <c r="P367" s="131" t="s">
        <v>35</v>
      </c>
      <c r="Q367" s="131" t="s">
        <v>36</v>
      </c>
    </row>
    <row r="368" spans="1:17" s="80" customFormat="1" x14ac:dyDescent="0.2">
      <c r="A368" s="828" t="s">
        <v>37</v>
      </c>
      <c r="B368" s="829"/>
      <c r="C368" s="829"/>
      <c r="D368" s="829"/>
      <c r="E368" s="829"/>
      <c r="F368" s="829"/>
      <c r="G368" s="829"/>
      <c r="H368" s="829"/>
      <c r="I368" s="829"/>
      <c r="J368" s="829"/>
      <c r="K368" s="829"/>
      <c r="L368" s="829"/>
      <c r="M368" s="829"/>
      <c r="N368" s="829"/>
      <c r="O368" s="829"/>
      <c r="P368" s="829"/>
      <c r="Q368" s="830"/>
    </row>
    <row r="369" spans="1:17" s="80" customFormat="1" ht="15" customHeight="1" x14ac:dyDescent="0.2">
      <c r="A369" s="134"/>
      <c r="B369" s="864" t="s">
        <v>1114</v>
      </c>
      <c r="C369" s="865"/>
      <c r="D369" s="865"/>
      <c r="E369" s="865"/>
      <c r="F369" s="865"/>
      <c r="G369" s="865"/>
      <c r="H369" s="865"/>
      <c r="I369" s="865"/>
      <c r="J369" s="865"/>
      <c r="K369" s="865"/>
      <c r="L369" s="865"/>
      <c r="M369" s="135"/>
      <c r="N369" s="135"/>
      <c r="O369" s="135"/>
      <c r="P369" s="135"/>
      <c r="Q369" s="136"/>
    </row>
    <row r="370" spans="1:17" s="505" customFormat="1" ht="81.95" customHeight="1" x14ac:dyDescent="0.2">
      <c r="A370" s="498">
        <v>1</v>
      </c>
      <c r="B370" s="499" t="s">
        <v>2470</v>
      </c>
      <c r="C370" s="500" t="s">
        <v>1116</v>
      </c>
      <c r="D370" s="501" t="s">
        <v>2471</v>
      </c>
      <c r="E370" s="501" t="s">
        <v>1117</v>
      </c>
      <c r="F370" s="501" t="s">
        <v>1118</v>
      </c>
      <c r="G370" s="502" t="s">
        <v>1119</v>
      </c>
      <c r="H370" s="502" t="s">
        <v>1119</v>
      </c>
      <c r="I370" s="502" t="s">
        <v>1119</v>
      </c>
      <c r="J370" s="502" t="s">
        <v>1119</v>
      </c>
      <c r="K370" s="502" t="s">
        <v>1119</v>
      </c>
      <c r="L370" s="501" t="s">
        <v>2472</v>
      </c>
      <c r="M370" s="501" t="s">
        <v>1120</v>
      </c>
      <c r="N370" s="503">
        <v>200000000</v>
      </c>
      <c r="O370" s="503"/>
      <c r="P370" s="503"/>
      <c r="Q370" s="504" t="s">
        <v>2473</v>
      </c>
    </row>
    <row r="371" spans="1:17" s="80" customFormat="1" x14ac:dyDescent="0.2">
      <c r="A371" s="149"/>
      <c r="B371" s="149"/>
      <c r="C371" s="149"/>
      <c r="D371" s="149"/>
      <c r="E371" s="149"/>
      <c r="F371" s="149"/>
      <c r="G371" s="149"/>
      <c r="H371" s="149"/>
      <c r="I371" s="149"/>
      <c r="J371" s="149"/>
      <c r="K371" s="149"/>
      <c r="L371" s="97"/>
      <c r="M371" s="149"/>
      <c r="N371" s="149"/>
      <c r="O371" s="149"/>
      <c r="P371" s="149"/>
      <c r="Q371" s="149"/>
    </row>
    <row r="372" spans="1:17" s="80" customFormat="1" x14ac:dyDescent="0.2">
      <c r="A372" s="835" t="s">
        <v>39</v>
      </c>
      <c r="B372" s="829"/>
      <c r="C372" s="829"/>
      <c r="D372" s="829"/>
      <c r="E372" s="829"/>
      <c r="F372" s="829"/>
      <c r="G372" s="829"/>
      <c r="H372" s="829"/>
      <c r="I372" s="829"/>
      <c r="J372" s="829"/>
      <c r="K372" s="829"/>
      <c r="L372" s="829"/>
      <c r="M372" s="829"/>
      <c r="N372" s="829"/>
      <c r="O372" s="829"/>
      <c r="P372" s="829"/>
      <c r="Q372" s="830"/>
    </row>
    <row r="373" spans="1:17" s="594" customFormat="1" ht="44.25" customHeight="1" x14ac:dyDescent="0.25">
      <c r="A373" s="514">
        <v>1</v>
      </c>
      <c r="B373" s="524" t="s">
        <v>1885</v>
      </c>
      <c r="C373" s="540" t="s">
        <v>1121</v>
      </c>
      <c r="D373" s="526" t="s">
        <v>1122</v>
      </c>
      <c r="E373" s="526" t="s">
        <v>1123</v>
      </c>
      <c r="F373" s="526" t="s">
        <v>1124</v>
      </c>
      <c r="G373" s="527" t="s">
        <v>1119</v>
      </c>
      <c r="H373" s="527" t="s">
        <v>1119</v>
      </c>
      <c r="I373" s="527"/>
      <c r="J373" s="527" t="s">
        <v>1119</v>
      </c>
      <c r="K373" s="527" t="s">
        <v>1119</v>
      </c>
      <c r="L373" s="526" t="s">
        <v>16</v>
      </c>
      <c r="M373" s="526" t="s">
        <v>1125</v>
      </c>
      <c r="N373" s="528">
        <f>(40*9000)+(500000*1)+(30*25000)*2</f>
        <v>2360000</v>
      </c>
      <c r="O373" s="528"/>
      <c r="P373" s="528"/>
      <c r="Q373" s="529" t="s">
        <v>2473</v>
      </c>
    </row>
    <row r="374" spans="1:17" s="594" customFormat="1" ht="24.75" customHeight="1" x14ac:dyDescent="0.25">
      <c r="A374" s="514">
        <v>2</v>
      </c>
      <c r="B374" s="537" t="s">
        <v>1751</v>
      </c>
      <c r="C374" s="540" t="s">
        <v>1121</v>
      </c>
      <c r="D374" s="526" t="s">
        <v>2500</v>
      </c>
      <c r="E374" s="526" t="s">
        <v>1127</v>
      </c>
      <c r="F374" s="526" t="s">
        <v>295</v>
      </c>
      <c r="G374" s="527" t="s">
        <v>1119</v>
      </c>
      <c r="H374" s="527" t="s">
        <v>1119</v>
      </c>
      <c r="I374" s="527" t="s">
        <v>1119</v>
      </c>
      <c r="J374" s="527" t="s">
        <v>1119</v>
      </c>
      <c r="K374" s="527" t="s">
        <v>1119</v>
      </c>
      <c r="L374" s="526" t="s">
        <v>16</v>
      </c>
      <c r="M374" s="526" t="s">
        <v>1128</v>
      </c>
      <c r="N374" s="528">
        <f>(9000*70*6)+(200000*2*6)</f>
        <v>6180000</v>
      </c>
      <c r="O374" s="528"/>
      <c r="P374" s="528"/>
      <c r="Q374" s="529" t="s">
        <v>2473</v>
      </c>
    </row>
    <row r="375" spans="1:17" s="594" customFormat="1" ht="48.75" customHeight="1" x14ac:dyDescent="0.25">
      <c r="A375" s="514">
        <v>3</v>
      </c>
      <c r="B375" s="537" t="s">
        <v>2501</v>
      </c>
      <c r="C375" s="540" t="s">
        <v>1121</v>
      </c>
      <c r="D375" s="526" t="s">
        <v>2502</v>
      </c>
      <c r="E375" s="526" t="s">
        <v>1130</v>
      </c>
      <c r="F375" s="526" t="s">
        <v>1131</v>
      </c>
      <c r="G375" s="527" t="s">
        <v>1119</v>
      </c>
      <c r="H375" s="527" t="s">
        <v>1119</v>
      </c>
      <c r="I375" s="527" t="s">
        <v>1119</v>
      </c>
      <c r="J375" s="527" t="s">
        <v>1119</v>
      </c>
      <c r="K375" s="527" t="s">
        <v>1119</v>
      </c>
      <c r="L375" s="526" t="s">
        <v>16</v>
      </c>
      <c r="M375" s="526" t="s">
        <v>1132</v>
      </c>
      <c r="N375" s="528">
        <f>(50*9000*7)+(62*9000)+(40*7*25000)+(62*25000)+(500000*8)</f>
        <v>16258000</v>
      </c>
      <c r="O375" s="528"/>
      <c r="P375" s="528"/>
      <c r="Q375" s="529" t="s">
        <v>2473</v>
      </c>
    </row>
    <row r="376" spans="1:17" s="594" customFormat="1" ht="57" customHeight="1" x14ac:dyDescent="0.25">
      <c r="A376" s="514">
        <v>4</v>
      </c>
      <c r="B376" s="541" t="s">
        <v>2503</v>
      </c>
      <c r="C376" s="542" t="s">
        <v>2504</v>
      </c>
      <c r="D376" s="526" t="s">
        <v>2505</v>
      </c>
      <c r="E376" s="526" t="s">
        <v>1136</v>
      </c>
      <c r="F376" s="526" t="s">
        <v>1137</v>
      </c>
      <c r="G376" s="527" t="s">
        <v>1119</v>
      </c>
      <c r="H376" s="527" t="s">
        <v>1119</v>
      </c>
      <c r="I376" s="527" t="s">
        <v>1119</v>
      </c>
      <c r="J376" s="527" t="s">
        <v>1119</v>
      </c>
      <c r="K376" s="527" t="s">
        <v>1119</v>
      </c>
      <c r="L376" s="526" t="s">
        <v>16</v>
      </c>
      <c r="M376" s="526" t="s">
        <v>1138</v>
      </c>
      <c r="N376" s="528">
        <f>(42*9000)+(25000*32)+(500000*2)</f>
        <v>2178000</v>
      </c>
      <c r="O376" s="528"/>
      <c r="P376" s="528"/>
      <c r="Q376" s="529" t="s">
        <v>2473</v>
      </c>
    </row>
    <row r="377" spans="1:17" s="594" customFormat="1" ht="48.75" customHeight="1" x14ac:dyDescent="0.25">
      <c r="A377" s="514">
        <v>5</v>
      </c>
      <c r="B377" s="544" t="s">
        <v>858</v>
      </c>
      <c r="C377" s="545" t="s">
        <v>1233</v>
      </c>
      <c r="D377" s="526" t="s">
        <v>2506</v>
      </c>
      <c r="E377" s="526" t="s">
        <v>1165</v>
      </c>
      <c r="F377" s="526" t="s">
        <v>1166</v>
      </c>
      <c r="G377" s="527" t="s">
        <v>1119</v>
      </c>
      <c r="H377" s="527" t="s">
        <v>1119</v>
      </c>
      <c r="I377" s="527" t="s">
        <v>1119</v>
      </c>
      <c r="J377" s="527" t="s">
        <v>1119</v>
      </c>
      <c r="K377" s="527" t="s">
        <v>1119</v>
      </c>
      <c r="L377" s="526" t="s">
        <v>1167</v>
      </c>
      <c r="M377" s="526" t="s">
        <v>1168</v>
      </c>
      <c r="N377" s="539">
        <f>(9000*150)+(500000*2)+(250000*3)+(600000*1)+(3000*100)+(10*4000)+(500000*2)</f>
        <v>5040000</v>
      </c>
      <c r="O377" s="528"/>
      <c r="P377" s="528"/>
      <c r="Q377" s="529" t="s">
        <v>2473</v>
      </c>
    </row>
    <row r="378" spans="1:17" s="594" customFormat="1" ht="51" customHeight="1" x14ac:dyDescent="0.25">
      <c r="A378" s="514">
        <v>6</v>
      </c>
      <c r="B378" s="541" t="s">
        <v>801</v>
      </c>
      <c r="C378" s="547" t="s">
        <v>1233</v>
      </c>
      <c r="D378" s="526" t="s">
        <v>1144</v>
      </c>
      <c r="E378" s="526" t="s">
        <v>1145</v>
      </c>
      <c r="F378" s="526" t="s">
        <v>1146</v>
      </c>
      <c r="G378" s="527" t="s">
        <v>1119</v>
      </c>
      <c r="H378" s="527" t="s">
        <v>1119</v>
      </c>
      <c r="I378" s="527" t="s">
        <v>1119</v>
      </c>
      <c r="J378" s="527" t="s">
        <v>1119</v>
      </c>
      <c r="K378" s="527" t="s">
        <v>1119</v>
      </c>
      <c r="L378" s="526" t="s">
        <v>1147</v>
      </c>
      <c r="M378" s="526" t="s">
        <v>1148</v>
      </c>
      <c r="N378" s="548">
        <v>7202500</v>
      </c>
      <c r="O378" s="549"/>
      <c r="P378" s="549"/>
      <c r="Q378" s="529" t="s">
        <v>2473</v>
      </c>
    </row>
    <row r="379" spans="1:17" s="594" customFormat="1" ht="51" customHeight="1" x14ac:dyDescent="0.25">
      <c r="A379" s="514">
        <v>7</v>
      </c>
      <c r="B379" s="544" t="s">
        <v>809</v>
      </c>
      <c r="C379" s="545" t="s">
        <v>1233</v>
      </c>
      <c r="D379" s="526" t="s">
        <v>2510</v>
      </c>
      <c r="E379" s="526" t="s">
        <v>1160</v>
      </c>
      <c r="F379" s="526" t="s">
        <v>1161</v>
      </c>
      <c r="G379" s="527" t="s">
        <v>1119</v>
      </c>
      <c r="H379" s="527"/>
      <c r="I379" s="527" t="s">
        <v>1119</v>
      </c>
      <c r="J379" s="527" t="s">
        <v>1119</v>
      </c>
      <c r="K379" s="527" t="s">
        <v>1119</v>
      </c>
      <c r="L379" s="526" t="s">
        <v>16</v>
      </c>
      <c r="M379" s="526" t="s">
        <v>210</v>
      </c>
      <c r="N379" s="528">
        <f>(35*9000)+(25000*25)+(500000*1)</f>
        <v>1440000</v>
      </c>
      <c r="O379" s="528"/>
      <c r="P379" s="528"/>
      <c r="Q379" s="529" t="s">
        <v>2473</v>
      </c>
    </row>
    <row r="380" spans="1:17" s="594" customFormat="1" ht="39" customHeight="1" x14ac:dyDescent="0.25">
      <c r="A380" s="514">
        <v>8</v>
      </c>
      <c r="B380" s="544" t="s">
        <v>809</v>
      </c>
      <c r="C380" s="545" t="s">
        <v>1233</v>
      </c>
      <c r="D380" s="538" t="s">
        <v>1162</v>
      </c>
      <c r="E380" s="538" t="s">
        <v>1163</v>
      </c>
      <c r="F380" s="538" t="s">
        <v>1164</v>
      </c>
      <c r="G380" s="527" t="s">
        <v>1119</v>
      </c>
      <c r="H380" s="527" t="s">
        <v>1119</v>
      </c>
      <c r="I380" s="527" t="s">
        <v>1119</v>
      </c>
      <c r="J380" s="527" t="s">
        <v>1119</v>
      </c>
      <c r="K380" s="527" t="s">
        <v>1119</v>
      </c>
      <c r="L380" s="538" t="s">
        <v>16</v>
      </c>
      <c r="M380" s="538" t="s">
        <v>106</v>
      </c>
      <c r="N380" s="528">
        <v>7500000</v>
      </c>
      <c r="O380" s="550"/>
      <c r="P380" s="550"/>
      <c r="Q380" s="529" t="s">
        <v>2473</v>
      </c>
    </row>
    <row r="381" spans="1:17" s="594" customFormat="1" ht="39" customHeight="1" x14ac:dyDescent="0.25">
      <c r="A381" s="514">
        <v>9</v>
      </c>
      <c r="B381" s="551" t="s">
        <v>795</v>
      </c>
      <c r="C381" s="535" t="s">
        <v>1233</v>
      </c>
      <c r="D381" s="526" t="s">
        <v>2511</v>
      </c>
      <c r="E381" s="535" t="s">
        <v>2512</v>
      </c>
      <c r="F381" s="535" t="s">
        <v>1172</v>
      </c>
      <c r="G381" s="527" t="s">
        <v>1119</v>
      </c>
      <c r="H381" s="527" t="s">
        <v>1119</v>
      </c>
      <c r="I381" s="527"/>
      <c r="J381" s="527" t="s">
        <v>1119</v>
      </c>
      <c r="K381" s="527" t="s">
        <v>1119</v>
      </c>
      <c r="L381" s="535" t="s">
        <v>16</v>
      </c>
      <c r="M381" s="535" t="s">
        <v>1173</v>
      </c>
      <c r="N381" s="536">
        <f>(35*9000*3)+(25*25000*3)+(500000*2*3)</f>
        <v>5820000</v>
      </c>
      <c r="O381" s="536"/>
      <c r="P381" s="552"/>
      <c r="Q381" s="514" t="s">
        <v>2473</v>
      </c>
    </row>
    <row r="382" spans="1:17" s="594" customFormat="1" ht="39" customHeight="1" x14ac:dyDescent="0.25">
      <c r="A382" s="514">
        <v>10</v>
      </c>
      <c r="B382" s="551" t="s">
        <v>795</v>
      </c>
      <c r="C382" s="535" t="s">
        <v>1233</v>
      </c>
      <c r="D382" s="526" t="s">
        <v>2513</v>
      </c>
      <c r="E382" s="535" t="s">
        <v>2514</v>
      </c>
      <c r="F382" s="535" t="s">
        <v>1172</v>
      </c>
      <c r="G382" s="527" t="s">
        <v>1119</v>
      </c>
      <c r="H382" s="527" t="s">
        <v>1119</v>
      </c>
      <c r="I382" s="527"/>
      <c r="J382" s="527" t="s">
        <v>1119</v>
      </c>
      <c r="K382" s="527" t="s">
        <v>1119</v>
      </c>
      <c r="L382" s="535" t="s">
        <v>16</v>
      </c>
      <c r="M382" s="535" t="s">
        <v>1174</v>
      </c>
      <c r="N382" s="536">
        <f>(35*9000*2)+(25*25000*2)+(500000*2*2)</f>
        <v>3880000</v>
      </c>
      <c r="O382" s="536"/>
      <c r="P382" s="552"/>
      <c r="Q382" s="514" t="s">
        <v>2473</v>
      </c>
    </row>
    <row r="383" spans="1:17" s="594" customFormat="1" ht="39" customHeight="1" x14ac:dyDescent="0.25">
      <c r="A383" s="514">
        <v>11</v>
      </c>
      <c r="B383" s="551" t="s">
        <v>795</v>
      </c>
      <c r="C383" s="535" t="s">
        <v>1233</v>
      </c>
      <c r="D383" s="526" t="s">
        <v>2515</v>
      </c>
      <c r="E383" s="535" t="s">
        <v>2516</v>
      </c>
      <c r="F383" s="535" t="s">
        <v>1172</v>
      </c>
      <c r="G383" s="527" t="s">
        <v>1119</v>
      </c>
      <c r="H383" s="553" t="s">
        <v>1119</v>
      </c>
      <c r="I383" s="553"/>
      <c r="J383" s="553" t="s">
        <v>1119</v>
      </c>
      <c r="K383" s="527" t="s">
        <v>1119</v>
      </c>
      <c r="L383" s="535" t="s">
        <v>16</v>
      </c>
      <c r="M383" s="535" t="s">
        <v>1174</v>
      </c>
      <c r="N383" s="554">
        <f>(35*9000*2)+(25*25000*2)+(500000*2*2)</f>
        <v>3880000</v>
      </c>
      <c r="O383" s="536"/>
      <c r="P383" s="552"/>
      <c r="Q383" s="514" t="s">
        <v>2473</v>
      </c>
    </row>
    <row r="384" spans="1:17" s="594" customFormat="1" ht="39" customHeight="1" x14ac:dyDescent="0.25">
      <c r="A384" s="514">
        <v>12</v>
      </c>
      <c r="B384" s="544" t="s">
        <v>795</v>
      </c>
      <c r="C384" s="555" t="s">
        <v>1233</v>
      </c>
      <c r="D384" s="526" t="s">
        <v>2517</v>
      </c>
      <c r="E384" s="526" t="s">
        <v>1176</v>
      </c>
      <c r="F384" s="526" t="s">
        <v>1177</v>
      </c>
      <c r="G384" s="527" t="s">
        <v>1119</v>
      </c>
      <c r="H384" s="553" t="s">
        <v>1119</v>
      </c>
      <c r="I384" s="553" t="s">
        <v>1119</v>
      </c>
      <c r="J384" s="553" t="s">
        <v>1119</v>
      </c>
      <c r="K384" s="527" t="s">
        <v>1119</v>
      </c>
      <c r="L384" s="526" t="s">
        <v>16</v>
      </c>
      <c r="M384" s="526" t="s">
        <v>1178</v>
      </c>
      <c r="N384" s="528">
        <v>10830000</v>
      </c>
      <c r="O384" s="528"/>
      <c r="P384" s="528"/>
      <c r="Q384" s="529" t="s">
        <v>2473</v>
      </c>
    </row>
    <row r="385" spans="1:17" s="594" customFormat="1" ht="54" customHeight="1" x14ac:dyDescent="0.25">
      <c r="A385" s="514">
        <v>13</v>
      </c>
      <c r="B385" s="541" t="s">
        <v>874</v>
      </c>
      <c r="C385" s="542" t="s">
        <v>1233</v>
      </c>
      <c r="D385" s="526" t="s">
        <v>2518</v>
      </c>
      <c r="E385" s="526" t="s">
        <v>1133</v>
      </c>
      <c r="F385" s="526" t="s">
        <v>1134</v>
      </c>
      <c r="G385" s="527" t="s">
        <v>1119</v>
      </c>
      <c r="H385" s="527" t="s">
        <v>1119</v>
      </c>
      <c r="I385" s="527"/>
      <c r="J385" s="527" t="s">
        <v>1119</v>
      </c>
      <c r="K385" s="527" t="s">
        <v>1119</v>
      </c>
      <c r="L385" s="526" t="s">
        <v>16</v>
      </c>
      <c r="M385" s="526" t="s">
        <v>1135</v>
      </c>
      <c r="N385" s="528">
        <f>((50*9000)+(500000*3))*2</f>
        <v>3900000</v>
      </c>
      <c r="O385" s="528"/>
      <c r="P385" s="528"/>
      <c r="Q385" s="529" t="s">
        <v>2473</v>
      </c>
    </row>
    <row r="386" spans="1:17" s="594" customFormat="1" ht="51.75" customHeight="1" x14ac:dyDescent="0.25">
      <c r="A386" s="514">
        <v>14</v>
      </c>
      <c r="B386" s="541" t="s">
        <v>531</v>
      </c>
      <c r="C386" s="540" t="s">
        <v>1129</v>
      </c>
      <c r="D386" s="538" t="s">
        <v>2519</v>
      </c>
      <c r="E386" s="526" t="s">
        <v>2520</v>
      </c>
      <c r="F386" s="526" t="s">
        <v>1152</v>
      </c>
      <c r="G386" s="527" t="s">
        <v>1119</v>
      </c>
      <c r="H386" s="527"/>
      <c r="I386" s="527"/>
      <c r="J386" s="527" t="s">
        <v>1119</v>
      </c>
      <c r="K386" s="527" t="s">
        <v>1119</v>
      </c>
      <c r="L386" s="526" t="s">
        <v>16</v>
      </c>
      <c r="M386" s="526" t="s">
        <v>1153</v>
      </c>
      <c r="N386" s="528">
        <f>(62+16+15*9000)+(25000*78)+(500000*2)</f>
        <v>3085078</v>
      </c>
      <c r="O386" s="528"/>
      <c r="P386" s="528"/>
      <c r="Q386" s="529" t="s">
        <v>2473</v>
      </c>
    </row>
    <row r="387" spans="1:17" s="594" customFormat="1" ht="42" customHeight="1" x14ac:dyDescent="0.25">
      <c r="A387" s="514">
        <v>15</v>
      </c>
      <c r="B387" s="556" t="s">
        <v>816</v>
      </c>
      <c r="C387" s="545" t="s">
        <v>1154</v>
      </c>
      <c r="D387" s="535" t="s">
        <v>1155</v>
      </c>
      <c r="E387" s="557" t="s">
        <v>1156</v>
      </c>
      <c r="F387" s="557" t="s">
        <v>1157</v>
      </c>
      <c r="G387" s="527" t="s">
        <v>1119</v>
      </c>
      <c r="H387" s="527" t="s">
        <v>1119</v>
      </c>
      <c r="I387" s="527" t="s">
        <v>1119</v>
      </c>
      <c r="J387" s="527" t="s">
        <v>1119</v>
      </c>
      <c r="K387" s="527" t="s">
        <v>1119</v>
      </c>
      <c r="L387" s="535" t="s">
        <v>16</v>
      </c>
      <c r="M387" s="535" t="s">
        <v>1158</v>
      </c>
      <c r="N387" s="536">
        <v>30000000</v>
      </c>
      <c r="O387" s="536"/>
      <c r="P387" s="536"/>
      <c r="Q387" s="529" t="s">
        <v>2473</v>
      </c>
    </row>
    <row r="388" spans="1:17" s="594" customFormat="1" ht="45.75" customHeight="1" x14ac:dyDescent="0.25">
      <c r="A388" s="514">
        <v>16</v>
      </c>
      <c r="B388" s="544" t="s">
        <v>816</v>
      </c>
      <c r="C388" s="545" t="s">
        <v>1154</v>
      </c>
      <c r="D388" s="526" t="s">
        <v>1188</v>
      </c>
      <c r="E388" s="538" t="s">
        <v>1189</v>
      </c>
      <c r="F388" s="538" t="s">
        <v>820</v>
      </c>
      <c r="G388" s="527" t="s">
        <v>1119</v>
      </c>
      <c r="H388" s="527" t="s">
        <v>1119</v>
      </c>
      <c r="I388" s="527" t="s">
        <v>1119</v>
      </c>
      <c r="J388" s="527" t="s">
        <v>1119</v>
      </c>
      <c r="K388" s="527" t="s">
        <v>1119</v>
      </c>
      <c r="L388" s="526" t="s">
        <v>16</v>
      </c>
      <c r="M388" s="526" t="s">
        <v>106</v>
      </c>
      <c r="N388" s="528">
        <f>(20000*80*2)+(500000*2)</f>
        <v>4200000</v>
      </c>
      <c r="O388" s="550"/>
      <c r="P388" s="528"/>
      <c r="Q388" s="514" t="s">
        <v>2522</v>
      </c>
    </row>
    <row r="389" spans="1:17" s="594" customFormat="1" ht="39" customHeight="1" x14ac:dyDescent="0.25">
      <c r="A389" s="514">
        <v>17</v>
      </c>
      <c r="B389" s="546" t="s">
        <v>2217</v>
      </c>
      <c r="C389" s="558" t="s">
        <v>1169</v>
      </c>
      <c r="D389" s="526" t="s">
        <v>1170</v>
      </c>
      <c r="E389" s="526" t="s">
        <v>1171</v>
      </c>
      <c r="F389" s="526" t="s">
        <v>1166</v>
      </c>
      <c r="G389" s="527" t="s">
        <v>1119</v>
      </c>
      <c r="H389" s="527" t="s">
        <v>1119</v>
      </c>
      <c r="I389" s="527" t="s">
        <v>1119</v>
      </c>
      <c r="J389" s="527" t="s">
        <v>1119</v>
      </c>
      <c r="K389" s="527" t="s">
        <v>1119</v>
      </c>
      <c r="L389" s="526" t="s">
        <v>16</v>
      </c>
      <c r="M389" s="526" t="s">
        <v>106</v>
      </c>
      <c r="N389" s="528">
        <f>(30*9000)+(25000*20)+(500000*2)</f>
        <v>1770000</v>
      </c>
      <c r="O389" s="528"/>
      <c r="P389" s="528"/>
      <c r="Q389" s="529" t="s">
        <v>2473</v>
      </c>
    </row>
    <row r="390" spans="1:17" s="594" customFormat="1" ht="50.1" customHeight="1" x14ac:dyDescent="0.25">
      <c r="A390" s="514">
        <v>18</v>
      </c>
      <c r="B390" s="541" t="s">
        <v>1361</v>
      </c>
      <c r="C390" s="542" t="s">
        <v>1179</v>
      </c>
      <c r="D390" s="538" t="s">
        <v>2525</v>
      </c>
      <c r="E390" s="526" t="s">
        <v>1139</v>
      </c>
      <c r="F390" s="526" t="s">
        <v>1140</v>
      </c>
      <c r="G390" s="527" t="s">
        <v>1119</v>
      </c>
      <c r="H390" s="527" t="s">
        <v>1119</v>
      </c>
      <c r="I390" s="527"/>
      <c r="J390" s="527" t="s">
        <v>1119</v>
      </c>
      <c r="K390" s="527" t="s">
        <v>1119</v>
      </c>
      <c r="L390" s="526" t="s">
        <v>1141</v>
      </c>
      <c r="M390" s="526" t="s">
        <v>1142</v>
      </c>
      <c r="N390" s="528">
        <f>(42*9000)+(30*25000)+(500000*1)</f>
        <v>1628000</v>
      </c>
      <c r="O390" s="550"/>
      <c r="P390" s="550"/>
      <c r="Q390" s="529" t="s">
        <v>2473</v>
      </c>
    </row>
    <row r="391" spans="1:17" s="594" customFormat="1" ht="58.5" customHeight="1" x14ac:dyDescent="0.25">
      <c r="A391" s="514">
        <v>19</v>
      </c>
      <c r="B391" s="541" t="s">
        <v>1361</v>
      </c>
      <c r="C391" s="542" t="s">
        <v>1179</v>
      </c>
      <c r="D391" s="538" t="s">
        <v>1143</v>
      </c>
      <c r="E391" s="526" t="s">
        <v>2526</v>
      </c>
      <c r="F391" s="526" t="s">
        <v>1137</v>
      </c>
      <c r="G391" s="527" t="s">
        <v>1119</v>
      </c>
      <c r="H391" s="527" t="s">
        <v>1119</v>
      </c>
      <c r="I391" s="527"/>
      <c r="J391" s="527" t="s">
        <v>1119</v>
      </c>
      <c r="K391" s="527" t="s">
        <v>1119</v>
      </c>
      <c r="L391" s="526" t="s">
        <v>16</v>
      </c>
      <c r="M391" s="526" t="s">
        <v>1142</v>
      </c>
      <c r="N391" s="528">
        <f>(42*9000)+(32*25000)+(500000*2)</f>
        <v>2178000</v>
      </c>
      <c r="O391" s="528"/>
      <c r="P391" s="528"/>
      <c r="Q391" s="529" t="s">
        <v>2473</v>
      </c>
    </row>
    <row r="392" spans="1:17" s="594" customFormat="1" ht="75.75" customHeight="1" x14ac:dyDescent="0.25">
      <c r="A392" s="514">
        <v>20</v>
      </c>
      <c r="B392" s="561" t="s">
        <v>1379</v>
      </c>
      <c r="C392" s="535" t="s">
        <v>2527</v>
      </c>
      <c r="D392" s="562" t="s">
        <v>1180</v>
      </c>
      <c r="E392" s="526" t="s">
        <v>1181</v>
      </c>
      <c r="F392" s="526" t="s">
        <v>1182</v>
      </c>
      <c r="G392" s="527" t="s">
        <v>1119</v>
      </c>
      <c r="H392" s="553" t="s">
        <v>1119</v>
      </c>
      <c r="I392" s="553" t="s">
        <v>1119</v>
      </c>
      <c r="J392" s="553" t="s">
        <v>1119</v>
      </c>
      <c r="K392" s="527" t="s">
        <v>1119</v>
      </c>
      <c r="L392" s="526" t="s">
        <v>1183</v>
      </c>
      <c r="M392" s="526" t="s">
        <v>1184</v>
      </c>
      <c r="N392" s="548">
        <f>3404000+2994000+3128000+1000000</f>
        <v>10526000</v>
      </c>
      <c r="O392" s="549"/>
      <c r="P392" s="549"/>
      <c r="Q392" s="529" t="s">
        <v>2473</v>
      </c>
    </row>
    <row r="393" spans="1:17" s="594" customFormat="1" ht="35.1" customHeight="1" x14ac:dyDescent="0.25">
      <c r="A393" s="514">
        <v>21</v>
      </c>
      <c r="B393" s="541" t="s">
        <v>906</v>
      </c>
      <c r="C393" s="542" t="s">
        <v>1179</v>
      </c>
      <c r="D393" s="535" t="s">
        <v>2528</v>
      </c>
      <c r="E393" s="526" t="s">
        <v>1149</v>
      </c>
      <c r="F393" s="526" t="s">
        <v>1150</v>
      </c>
      <c r="G393" s="527" t="s">
        <v>1119</v>
      </c>
      <c r="H393" s="527" t="s">
        <v>1119</v>
      </c>
      <c r="I393" s="527" t="s">
        <v>1119</v>
      </c>
      <c r="J393" s="527" t="s">
        <v>1119</v>
      </c>
      <c r="K393" s="527" t="s">
        <v>1119</v>
      </c>
      <c r="L393" s="526" t="s">
        <v>16</v>
      </c>
      <c r="M393" s="526" t="s">
        <v>1151</v>
      </c>
      <c r="N393" s="528">
        <v>15000000</v>
      </c>
      <c r="O393" s="528"/>
      <c r="P393" s="528"/>
      <c r="Q393" s="529" t="s">
        <v>2473</v>
      </c>
    </row>
    <row r="394" spans="1:17" s="594" customFormat="1" ht="54" customHeight="1" x14ac:dyDescent="0.25">
      <c r="A394" s="514">
        <v>22</v>
      </c>
      <c r="B394" s="537" t="s">
        <v>938</v>
      </c>
      <c r="C394" s="525" t="s">
        <v>2529</v>
      </c>
      <c r="D394" s="526" t="s">
        <v>1186</v>
      </c>
      <c r="E394" s="526" t="s">
        <v>1187</v>
      </c>
      <c r="F394" s="526" t="s">
        <v>820</v>
      </c>
      <c r="G394" s="527" t="s">
        <v>1119</v>
      </c>
      <c r="H394" s="527" t="s">
        <v>1119</v>
      </c>
      <c r="I394" s="527" t="s">
        <v>1119</v>
      </c>
      <c r="J394" s="527" t="s">
        <v>1119</v>
      </c>
      <c r="K394" s="527" t="s">
        <v>1119</v>
      </c>
      <c r="L394" s="526" t="s">
        <v>2530</v>
      </c>
      <c r="M394" s="526" t="s">
        <v>2531</v>
      </c>
      <c r="N394" s="528">
        <v>55000000</v>
      </c>
      <c r="O394" s="528"/>
      <c r="P394" s="528"/>
      <c r="Q394" s="529" t="s">
        <v>2473</v>
      </c>
    </row>
    <row r="395" spans="1:17" s="594" customFormat="1" ht="39" customHeight="1" x14ac:dyDescent="0.25">
      <c r="A395" s="514">
        <v>23</v>
      </c>
      <c r="B395" s="546" t="s">
        <v>1243</v>
      </c>
      <c r="C395" s="542" t="s">
        <v>1233</v>
      </c>
      <c r="D395" s="526" t="s">
        <v>2507</v>
      </c>
      <c r="E395" s="526" t="s">
        <v>1193</v>
      </c>
      <c r="F395" s="526" t="s">
        <v>2508</v>
      </c>
      <c r="G395" s="527" t="s">
        <v>1119</v>
      </c>
      <c r="H395" s="527"/>
      <c r="I395" s="527"/>
      <c r="J395" s="527" t="s">
        <v>1119</v>
      </c>
      <c r="K395" s="527" t="s">
        <v>1119</v>
      </c>
      <c r="L395" s="526" t="s">
        <v>1194</v>
      </c>
      <c r="M395" s="526" t="s">
        <v>1195</v>
      </c>
      <c r="N395" s="528"/>
      <c r="O395" s="528">
        <v>6000000</v>
      </c>
      <c r="P395" s="528"/>
      <c r="Q395" s="514" t="s">
        <v>2509</v>
      </c>
    </row>
    <row r="396" spans="1:17" s="594" customFormat="1" ht="52.5" customHeight="1" x14ac:dyDescent="0.25">
      <c r="A396" s="514">
        <v>24</v>
      </c>
      <c r="B396" s="537" t="s">
        <v>1212</v>
      </c>
      <c r="C396" s="525" t="s">
        <v>1213</v>
      </c>
      <c r="D396" s="538" t="s">
        <v>2497</v>
      </c>
      <c r="E396" s="526" t="s">
        <v>2498</v>
      </c>
      <c r="F396" s="526" t="s">
        <v>1214</v>
      </c>
      <c r="G396" s="527" t="s">
        <v>1119</v>
      </c>
      <c r="H396" s="527"/>
      <c r="I396" s="527"/>
      <c r="J396" s="527" t="s">
        <v>1119</v>
      </c>
      <c r="K396" s="527" t="s">
        <v>1119</v>
      </c>
      <c r="L396" s="526" t="s">
        <v>16</v>
      </c>
      <c r="M396" s="526" t="s">
        <v>1215</v>
      </c>
      <c r="N396" s="539"/>
      <c r="O396" s="528">
        <v>12000000</v>
      </c>
      <c r="P396" s="528"/>
      <c r="Q396" s="514" t="s">
        <v>2499</v>
      </c>
    </row>
    <row r="397" spans="1:17" s="594" customFormat="1" ht="45" customHeight="1" x14ac:dyDescent="0.25">
      <c r="A397" s="514">
        <v>25</v>
      </c>
      <c r="B397" s="544" t="s">
        <v>816</v>
      </c>
      <c r="C397" s="545" t="s">
        <v>1154</v>
      </c>
      <c r="D397" s="526" t="s">
        <v>1190</v>
      </c>
      <c r="E397" s="538" t="s">
        <v>1191</v>
      </c>
      <c r="F397" s="538" t="s">
        <v>820</v>
      </c>
      <c r="G397" s="527" t="s">
        <v>1119</v>
      </c>
      <c r="H397" s="527" t="s">
        <v>1119</v>
      </c>
      <c r="I397" s="527" t="s">
        <v>1119</v>
      </c>
      <c r="J397" s="527" t="s">
        <v>1119</v>
      </c>
      <c r="K397" s="527" t="s">
        <v>1119</v>
      </c>
      <c r="L397" s="526" t="s">
        <v>1141</v>
      </c>
      <c r="M397" s="526" t="s">
        <v>806</v>
      </c>
      <c r="N397" s="528"/>
      <c r="O397" s="528">
        <v>60000000</v>
      </c>
      <c r="P397" s="528"/>
      <c r="Q397" s="514" t="s">
        <v>2522</v>
      </c>
    </row>
    <row r="398" spans="1:17" s="594" customFormat="1" ht="51.75" customHeight="1" x14ac:dyDescent="0.25">
      <c r="A398" s="514">
        <v>26</v>
      </c>
      <c r="B398" s="544" t="s">
        <v>816</v>
      </c>
      <c r="C398" s="545" t="s">
        <v>1154</v>
      </c>
      <c r="D398" s="526" t="s">
        <v>2521</v>
      </c>
      <c r="E398" s="526" t="s">
        <v>1196</v>
      </c>
      <c r="F398" s="526" t="s">
        <v>1161</v>
      </c>
      <c r="G398" s="527" t="s">
        <v>1119</v>
      </c>
      <c r="H398" s="527" t="s">
        <v>1119</v>
      </c>
      <c r="I398" s="527" t="s">
        <v>1119</v>
      </c>
      <c r="J398" s="527" t="s">
        <v>1119</v>
      </c>
      <c r="K398" s="527" t="s">
        <v>1119</v>
      </c>
      <c r="L398" s="526" t="s">
        <v>16</v>
      </c>
      <c r="M398" s="526" t="s">
        <v>210</v>
      </c>
      <c r="N398" s="528"/>
      <c r="O398" s="528"/>
      <c r="P398" s="528">
        <v>75000000</v>
      </c>
      <c r="Q398" s="514" t="s">
        <v>1197</v>
      </c>
    </row>
    <row r="399" spans="1:17" s="594" customFormat="1" ht="39.75" customHeight="1" x14ac:dyDescent="0.25">
      <c r="A399" s="514">
        <v>27</v>
      </c>
      <c r="B399" s="544" t="s">
        <v>816</v>
      </c>
      <c r="C399" s="545" t="s">
        <v>1154</v>
      </c>
      <c r="D399" s="526" t="s">
        <v>1198</v>
      </c>
      <c r="E399" s="526" t="s">
        <v>1199</v>
      </c>
      <c r="F399" s="526" t="s">
        <v>1200</v>
      </c>
      <c r="G399" s="527" t="s">
        <v>1119</v>
      </c>
      <c r="H399" s="527" t="s">
        <v>1119</v>
      </c>
      <c r="I399" s="527" t="s">
        <v>1119</v>
      </c>
      <c r="J399" s="527" t="s">
        <v>1119</v>
      </c>
      <c r="K399" s="527" t="s">
        <v>1119</v>
      </c>
      <c r="L399" s="526" t="s">
        <v>16</v>
      </c>
      <c r="M399" s="526" t="s">
        <v>806</v>
      </c>
      <c r="N399" s="528"/>
      <c r="O399" s="528"/>
      <c r="P399" s="528">
        <v>350000000</v>
      </c>
      <c r="Q399" s="514" t="s">
        <v>1197</v>
      </c>
    </row>
    <row r="400" spans="1:17" s="594" customFormat="1" ht="62.25" customHeight="1" x14ac:dyDescent="0.25">
      <c r="A400" s="514">
        <v>28</v>
      </c>
      <c r="B400" s="534" t="s">
        <v>1498</v>
      </c>
      <c r="C400" s="526" t="s">
        <v>1499</v>
      </c>
      <c r="D400" s="535" t="s">
        <v>1207</v>
      </c>
      <c r="E400" s="535" t="s">
        <v>1208</v>
      </c>
      <c r="F400" s="535" t="s">
        <v>1209</v>
      </c>
      <c r="G400" s="527" t="s">
        <v>1119</v>
      </c>
      <c r="H400" s="527"/>
      <c r="I400" s="527"/>
      <c r="J400" s="527" t="s">
        <v>1119</v>
      </c>
      <c r="K400" s="527" t="s">
        <v>1119</v>
      </c>
      <c r="L400" s="535" t="s">
        <v>1210</v>
      </c>
      <c r="M400" s="535" t="s">
        <v>1211</v>
      </c>
      <c r="N400" s="536"/>
      <c r="O400" s="536">
        <f>17000000*4</f>
        <v>68000000</v>
      </c>
      <c r="P400" s="536"/>
      <c r="Q400" s="514" t="s">
        <v>2496</v>
      </c>
    </row>
    <row r="401" spans="1:17" s="594" customFormat="1" ht="51.75" customHeight="1" x14ac:dyDescent="0.25">
      <c r="A401" s="514">
        <v>29</v>
      </c>
      <c r="B401" s="559" t="s">
        <v>923</v>
      </c>
      <c r="C401" s="540" t="s">
        <v>2523</v>
      </c>
      <c r="D401" s="560" t="s">
        <v>1201</v>
      </c>
      <c r="E401" s="535" t="s">
        <v>1202</v>
      </c>
      <c r="F401" s="535" t="s">
        <v>1203</v>
      </c>
      <c r="G401" s="527" t="s">
        <v>1119</v>
      </c>
      <c r="H401" s="553" t="s">
        <v>1119</v>
      </c>
      <c r="I401" s="553" t="s">
        <v>1119</v>
      </c>
      <c r="J401" s="553" t="s">
        <v>1119</v>
      </c>
      <c r="K401" s="527" t="s">
        <v>1119</v>
      </c>
      <c r="L401" s="535" t="s">
        <v>1204</v>
      </c>
      <c r="M401" s="535" t="s">
        <v>1205</v>
      </c>
      <c r="N401" s="536"/>
      <c r="O401" s="536">
        <v>38000000</v>
      </c>
      <c r="P401" s="552"/>
      <c r="Q401" s="514" t="s">
        <v>2524</v>
      </c>
    </row>
    <row r="402" spans="1:17" s="80" customFormat="1" ht="15.75" customHeight="1" x14ac:dyDescent="0.2">
      <c r="A402" s="835" t="s">
        <v>40</v>
      </c>
      <c r="B402" s="829"/>
      <c r="C402" s="829"/>
      <c r="D402" s="829"/>
      <c r="E402" s="829"/>
      <c r="F402" s="829"/>
      <c r="G402" s="829"/>
      <c r="H402" s="829"/>
      <c r="I402" s="829"/>
      <c r="J402" s="829"/>
      <c r="K402" s="829"/>
      <c r="L402" s="829"/>
      <c r="M402" s="829"/>
      <c r="N402" s="829"/>
      <c r="O402" s="829"/>
      <c r="P402" s="829"/>
      <c r="Q402" s="830"/>
    </row>
    <row r="403" spans="1:17" s="594" customFormat="1" ht="35.1" customHeight="1" x14ac:dyDescent="0.25">
      <c r="A403" s="529">
        <v>1</v>
      </c>
      <c r="B403" s="574" t="s">
        <v>1870</v>
      </c>
      <c r="C403" s="526" t="s">
        <v>1121</v>
      </c>
      <c r="D403" s="526" t="s">
        <v>1217</v>
      </c>
      <c r="E403" s="526" t="s">
        <v>1218</v>
      </c>
      <c r="F403" s="526" t="s">
        <v>1219</v>
      </c>
      <c r="G403" s="527" t="s">
        <v>1119</v>
      </c>
      <c r="H403" s="527" t="s">
        <v>1119</v>
      </c>
      <c r="I403" s="527" t="s">
        <v>1119</v>
      </c>
      <c r="J403" s="527" t="s">
        <v>1119</v>
      </c>
      <c r="K403" s="527" t="s">
        <v>1119</v>
      </c>
      <c r="L403" s="526" t="s">
        <v>1220</v>
      </c>
      <c r="M403" s="526" t="s">
        <v>1221</v>
      </c>
      <c r="N403" s="548">
        <f>14000*9*30*3</f>
        <v>11340000</v>
      </c>
      <c r="O403" s="549"/>
      <c r="P403" s="549"/>
      <c r="Q403" s="529" t="s">
        <v>2473</v>
      </c>
    </row>
    <row r="404" spans="1:17" s="594" customFormat="1" ht="50.1" customHeight="1" x14ac:dyDescent="0.25">
      <c r="A404" s="529">
        <v>2</v>
      </c>
      <c r="B404" s="574" t="s">
        <v>1870</v>
      </c>
      <c r="C404" s="580" t="s">
        <v>2540</v>
      </c>
      <c r="D404" s="526" t="s">
        <v>1222</v>
      </c>
      <c r="E404" s="526" t="s">
        <v>1223</v>
      </c>
      <c r="F404" s="526" t="s">
        <v>1224</v>
      </c>
      <c r="G404" s="527" t="s">
        <v>1119</v>
      </c>
      <c r="H404" s="527" t="s">
        <v>1119</v>
      </c>
      <c r="I404" s="527" t="s">
        <v>1119</v>
      </c>
      <c r="J404" s="527" t="s">
        <v>1119</v>
      </c>
      <c r="K404" s="527" t="s">
        <v>1119</v>
      </c>
      <c r="L404" s="526" t="s">
        <v>1225</v>
      </c>
      <c r="M404" s="526" t="s">
        <v>1226</v>
      </c>
      <c r="N404" s="548">
        <f>10*7*3*9000</f>
        <v>1890000</v>
      </c>
      <c r="O404" s="549"/>
      <c r="P404" s="549"/>
      <c r="Q404" s="529" t="s">
        <v>2473</v>
      </c>
    </row>
    <row r="405" spans="1:17" s="594" customFormat="1" ht="66.75" customHeight="1" x14ac:dyDescent="0.25">
      <c r="A405" s="529">
        <v>3</v>
      </c>
      <c r="B405" s="574" t="s">
        <v>2545</v>
      </c>
      <c r="C405" s="575" t="s">
        <v>1233</v>
      </c>
      <c r="D405" s="526" t="s">
        <v>1239</v>
      </c>
      <c r="E405" s="526" t="s">
        <v>1240</v>
      </c>
      <c r="F405" s="526" t="s">
        <v>1241</v>
      </c>
      <c r="G405" s="527" t="s">
        <v>1119</v>
      </c>
      <c r="H405" s="527" t="s">
        <v>1119</v>
      </c>
      <c r="I405" s="527" t="s">
        <v>1119</v>
      </c>
      <c r="J405" s="527" t="s">
        <v>1119</v>
      </c>
      <c r="K405" s="527" t="s">
        <v>1119</v>
      </c>
      <c r="L405" s="526" t="s">
        <v>16</v>
      </c>
      <c r="M405" s="526" t="s">
        <v>1242</v>
      </c>
      <c r="N405" s="548">
        <f>(25*9000)+(25000*25)+(500000*2)</f>
        <v>1850000</v>
      </c>
      <c r="O405" s="549"/>
      <c r="P405" s="549"/>
      <c r="Q405" s="529" t="s">
        <v>2473</v>
      </c>
    </row>
    <row r="406" spans="1:17" s="594" customFormat="1" ht="55.5" customHeight="1" x14ac:dyDescent="0.25">
      <c r="A406" s="529">
        <v>4</v>
      </c>
      <c r="B406" s="541" t="s">
        <v>874</v>
      </c>
      <c r="C406" s="542" t="s">
        <v>2549</v>
      </c>
      <c r="D406" s="538" t="s">
        <v>1228</v>
      </c>
      <c r="E406" s="526" t="s">
        <v>1229</v>
      </c>
      <c r="F406" s="538" t="s">
        <v>1230</v>
      </c>
      <c r="G406" s="527" t="s">
        <v>1119</v>
      </c>
      <c r="H406" s="527" t="s">
        <v>1119</v>
      </c>
      <c r="I406" s="527" t="s">
        <v>1119</v>
      </c>
      <c r="J406" s="527" t="s">
        <v>1119</v>
      </c>
      <c r="K406" s="527" t="s">
        <v>1119</v>
      </c>
      <c r="L406" s="526" t="s">
        <v>1231</v>
      </c>
      <c r="M406" s="526" t="s">
        <v>1232</v>
      </c>
      <c r="N406" s="528">
        <f>(60*9000*2)+(25000*50*2)+(500000*2*2)</f>
        <v>5580000</v>
      </c>
      <c r="O406" s="528"/>
      <c r="P406" s="528"/>
      <c r="Q406" s="529" t="s">
        <v>2473</v>
      </c>
    </row>
    <row r="407" spans="1:17" s="594" customFormat="1" ht="50.1" customHeight="1" x14ac:dyDescent="0.25">
      <c r="A407" s="529">
        <v>5</v>
      </c>
      <c r="B407" s="541" t="s">
        <v>874</v>
      </c>
      <c r="C407" s="542" t="s">
        <v>2549</v>
      </c>
      <c r="D407" s="526" t="s">
        <v>1234</v>
      </c>
      <c r="E407" s="526" t="s">
        <v>1235</v>
      </c>
      <c r="F407" s="526" t="s">
        <v>1236</v>
      </c>
      <c r="G407" s="527" t="s">
        <v>1119</v>
      </c>
      <c r="H407" s="527" t="s">
        <v>1119</v>
      </c>
      <c r="I407" s="527" t="s">
        <v>1119</v>
      </c>
      <c r="J407" s="527" t="s">
        <v>1119</v>
      </c>
      <c r="K407" s="527" t="s">
        <v>1119</v>
      </c>
      <c r="L407" s="526" t="s">
        <v>16</v>
      </c>
      <c r="M407" s="526" t="s">
        <v>1237</v>
      </c>
      <c r="N407" s="548">
        <v>6450000</v>
      </c>
      <c r="O407" s="549"/>
      <c r="P407" s="549"/>
      <c r="Q407" s="529" t="s">
        <v>2473</v>
      </c>
    </row>
    <row r="408" spans="1:17" s="594" customFormat="1" ht="60.75" customHeight="1" x14ac:dyDescent="0.25">
      <c r="A408" s="529">
        <v>6</v>
      </c>
      <c r="B408" s="541" t="s">
        <v>874</v>
      </c>
      <c r="C408" s="542" t="s">
        <v>2549</v>
      </c>
      <c r="D408" s="526" t="s">
        <v>1244</v>
      </c>
      <c r="E408" s="526" t="s">
        <v>1245</v>
      </c>
      <c r="F408" s="526" t="s">
        <v>1246</v>
      </c>
      <c r="G408" s="527" t="s">
        <v>1119</v>
      </c>
      <c r="H408" s="527" t="s">
        <v>1119</v>
      </c>
      <c r="I408" s="527" t="s">
        <v>1119</v>
      </c>
      <c r="J408" s="527" t="s">
        <v>1119</v>
      </c>
      <c r="K408" s="527" t="s">
        <v>1119</v>
      </c>
      <c r="L408" s="526" t="s">
        <v>16</v>
      </c>
      <c r="M408" s="526" t="s">
        <v>1247</v>
      </c>
      <c r="N408" s="548">
        <v>3057500</v>
      </c>
      <c r="O408" s="549"/>
      <c r="P408" s="549"/>
      <c r="Q408" s="529" t="s">
        <v>2473</v>
      </c>
    </row>
    <row r="409" spans="1:17" s="594" customFormat="1" ht="48" customHeight="1" x14ac:dyDescent="0.25">
      <c r="A409" s="529">
        <v>7</v>
      </c>
      <c r="B409" s="551" t="s">
        <v>1685</v>
      </c>
      <c r="C409" s="540" t="s">
        <v>1311</v>
      </c>
      <c r="D409" s="538" t="s">
        <v>2559</v>
      </c>
      <c r="E409" s="526" t="s">
        <v>2560</v>
      </c>
      <c r="F409" s="526" t="s">
        <v>1261</v>
      </c>
      <c r="G409" s="527" t="s">
        <v>1119</v>
      </c>
      <c r="H409" s="527" t="s">
        <v>1119</v>
      </c>
      <c r="I409" s="527" t="s">
        <v>1119</v>
      </c>
      <c r="J409" s="527" t="s">
        <v>1119</v>
      </c>
      <c r="K409" s="527" t="s">
        <v>1119</v>
      </c>
      <c r="L409" s="526" t="s">
        <v>1262</v>
      </c>
      <c r="M409" s="526" t="s">
        <v>1263</v>
      </c>
      <c r="N409" s="528">
        <f>(57200*200)</f>
        <v>11440000</v>
      </c>
      <c r="O409" s="528"/>
      <c r="P409" s="528"/>
      <c r="Q409" s="529" t="s">
        <v>2473</v>
      </c>
    </row>
    <row r="410" spans="1:17" s="594" customFormat="1" ht="68.25" customHeight="1" x14ac:dyDescent="0.25">
      <c r="A410" s="529">
        <v>8</v>
      </c>
      <c r="B410" s="574" t="s">
        <v>1333</v>
      </c>
      <c r="C410" s="526" t="s">
        <v>1249</v>
      </c>
      <c r="D410" s="526" t="s">
        <v>1250</v>
      </c>
      <c r="E410" s="526" t="s">
        <v>1251</v>
      </c>
      <c r="F410" s="526" t="s">
        <v>1252</v>
      </c>
      <c r="G410" s="527" t="s">
        <v>1119</v>
      </c>
      <c r="H410" s="527" t="s">
        <v>1119</v>
      </c>
      <c r="I410" s="527" t="s">
        <v>1119</v>
      </c>
      <c r="J410" s="527" t="s">
        <v>1119</v>
      </c>
      <c r="K410" s="527" t="s">
        <v>1119</v>
      </c>
      <c r="L410" s="526" t="s">
        <v>1253</v>
      </c>
      <c r="M410" s="526" t="s">
        <v>1254</v>
      </c>
      <c r="N410" s="548">
        <f>(2500000*25)*7%</f>
        <v>4375000</v>
      </c>
      <c r="O410" s="549"/>
      <c r="P410" s="549"/>
      <c r="Q410" s="529" t="s">
        <v>2473</v>
      </c>
    </row>
    <row r="411" spans="1:17" s="594" customFormat="1" ht="50.25" customHeight="1" x14ac:dyDescent="0.25">
      <c r="A411" s="529">
        <v>9</v>
      </c>
      <c r="B411" s="574" t="s">
        <v>1069</v>
      </c>
      <c r="C411" s="526" t="s">
        <v>1249</v>
      </c>
      <c r="D411" s="526" t="s">
        <v>1256</v>
      </c>
      <c r="E411" s="526" t="s">
        <v>1257</v>
      </c>
      <c r="F411" s="526" t="s">
        <v>1258</v>
      </c>
      <c r="G411" s="527" t="s">
        <v>1119</v>
      </c>
      <c r="H411" s="527" t="s">
        <v>1119</v>
      </c>
      <c r="I411" s="527" t="s">
        <v>1119</v>
      </c>
      <c r="J411" s="527" t="s">
        <v>1119</v>
      </c>
      <c r="K411" s="527" t="s">
        <v>1119</v>
      </c>
      <c r="L411" s="526" t="s">
        <v>16</v>
      </c>
      <c r="M411" s="526" t="s">
        <v>1259</v>
      </c>
      <c r="N411" s="528">
        <v>15000000</v>
      </c>
      <c r="O411" s="528"/>
      <c r="P411" s="528"/>
      <c r="Q411" s="529" t="s">
        <v>2473</v>
      </c>
    </row>
    <row r="412" spans="1:17" s="594" customFormat="1" ht="50.25" customHeight="1" x14ac:dyDescent="0.25">
      <c r="A412" s="529">
        <v>10</v>
      </c>
      <c r="B412" s="574" t="s">
        <v>1374</v>
      </c>
      <c r="C412" s="525" t="s">
        <v>2564</v>
      </c>
      <c r="D412" s="560" t="s">
        <v>2565</v>
      </c>
      <c r="E412" s="526" t="s">
        <v>1276</v>
      </c>
      <c r="F412" s="526" t="s">
        <v>1277</v>
      </c>
      <c r="G412" s="527" t="s">
        <v>1119</v>
      </c>
      <c r="H412" s="527" t="s">
        <v>1119</v>
      </c>
      <c r="I412" s="527" t="s">
        <v>1119</v>
      </c>
      <c r="J412" s="527" t="s">
        <v>1119</v>
      </c>
      <c r="K412" s="527" t="s">
        <v>1119</v>
      </c>
      <c r="L412" s="526" t="s">
        <v>1278</v>
      </c>
      <c r="M412" s="526" t="s">
        <v>2566</v>
      </c>
      <c r="N412" s="528">
        <v>198000000</v>
      </c>
      <c r="O412" s="528"/>
      <c r="P412" s="528"/>
      <c r="Q412" s="529" t="s">
        <v>2473</v>
      </c>
    </row>
    <row r="413" spans="1:17" s="594" customFormat="1" ht="38.25" customHeight="1" x14ac:dyDescent="0.25">
      <c r="A413" s="529">
        <v>11</v>
      </c>
      <c r="B413" s="574" t="s">
        <v>938</v>
      </c>
      <c r="C413" s="525" t="s">
        <v>1116</v>
      </c>
      <c r="D413" s="526" t="s">
        <v>1264</v>
      </c>
      <c r="E413" s="526" t="s">
        <v>1265</v>
      </c>
      <c r="F413" s="526" t="s">
        <v>820</v>
      </c>
      <c r="G413" s="527" t="s">
        <v>1119</v>
      </c>
      <c r="H413" s="527" t="s">
        <v>1119</v>
      </c>
      <c r="I413" s="527" t="s">
        <v>1119</v>
      </c>
      <c r="J413" s="527" t="s">
        <v>1119</v>
      </c>
      <c r="K413" s="527" t="s">
        <v>1119</v>
      </c>
      <c r="L413" s="526" t="s">
        <v>1266</v>
      </c>
      <c r="M413" s="526" t="s">
        <v>1267</v>
      </c>
      <c r="N413" s="528">
        <v>10000000</v>
      </c>
      <c r="O413" s="528"/>
      <c r="P413" s="528"/>
      <c r="Q413" s="529" t="s">
        <v>2473</v>
      </c>
    </row>
    <row r="414" spans="1:17" s="594" customFormat="1" ht="41.25" customHeight="1" x14ac:dyDescent="0.25">
      <c r="A414" s="529">
        <v>12</v>
      </c>
      <c r="B414" s="574" t="s">
        <v>938</v>
      </c>
      <c r="C414" s="525" t="s">
        <v>1116</v>
      </c>
      <c r="D414" s="557" t="s">
        <v>1269</v>
      </c>
      <c r="E414" s="526" t="s">
        <v>1270</v>
      </c>
      <c r="F414" s="526" t="s">
        <v>1271</v>
      </c>
      <c r="G414" s="527" t="s">
        <v>1119</v>
      </c>
      <c r="H414" s="527" t="s">
        <v>1119</v>
      </c>
      <c r="I414" s="527" t="s">
        <v>1119</v>
      </c>
      <c r="J414" s="527" t="s">
        <v>1119</v>
      </c>
      <c r="K414" s="527" t="s">
        <v>1119</v>
      </c>
      <c r="L414" s="526" t="s">
        <v>1272</v>
      </c>
      <c r="M414" s="526" t="s">
        <v>1273</v>
      </c>
      <c r="N414" s="528">
        <f>(1020000*9)</f>
        <v>9180000</v>
      </c>
      <c r="O414" s="528"/>
      <c r="P414" s="528"/>
      <c r="Q414" s="529" t="s">
        <v>2473</v>
      </c>
    </row>
    <row r="415" spans="1:17" s="594" customFormat="1" ht="72.75" customHeight="1" x14ac:dyDescent="0.25">
      <c r="A415" s="529">
        <v>13</v>
      </c>
      <c r="B415" s="574" t="s">
        <v>842</v>
      </c>
      <c r="C415" s="575" t="s">
        <v>1348</v>
      </c>
      <c r="D415" s="526" t="s">
        <v>1349</v>
      </c>
      <c r="E415" s="526" t="s">
        <v>1350</v>
      </c>
      <c r="F415" s="526" t="s">
        <v>1351</v>
      </c>
      <c r="G415" s="527" t="s">
        <v>1119</v>
      </c>
      <c r="H415" s="527" t="s">
        <v>1119</v>
      </c>
      <c r="I415" s="527" t="s">
        <v>1119</v>
      </c>
      <c r="J415" s="527" t="s">
        <v>1119</v>
      </c>
      <c r="K415" s="527" t="s">
        <v>1119</v>
      </c>
      <c r="L415" s="526" t="s">
        <v>1352</v>
      </c>
      <c r="M415" s="526" t="s">
        <v>806</v>
      </c>
      <c r="N415" s="576"/>
      <c r="O415" s="577">
        <v>3530000000</v>
      </c>
      <c r="P415" s="576"/>
      <c r="Q415" s="514" t="s">
        <v>2524</v>
      </c>
    </row>
    <row r="416" spans="1:17" s="594" customFormat="1" ht="65.099999999999994" customHeight="1" x14ac:dyDescent="0.25">
      <c r="A416" s="529">
        <v>14</v>
      </c>
      <c r="B416" s="574" t="s">
        <v>842</v>
      </c>
      <c r="C416" s="575" t="s">
        <v>1348</v>
      </c>
      <c r="D416" s="525" t="s">
        <v>1353</v>
      </c>
      <c r="E416" s="526" t="s">
        <v>1354</v>
      </c>
      <c r="F416" s="526" t="s">
        <v>1355</v>
      </c>
      <c r="G416" s="527" t="s">
        <v>1119</v>
      </c>
      <c r="H416" s="527" t="s">
        <v>1119</v>
      </c>
      <c r="I416" s="527" t="s">
        <v>1119</v>
      </c>
      <c r="J416" s="527" t="s">
        <v>1119</v>
      </c>
      <c r="K416" s="527" t="s">
        <v>1119</v>
      </c>
      <c r="L416" s="526" t="s">
        <v>1356</v>
      </c>
      <c r="M416" s="526" t="s">
        <v>806</v>
      </c>
      <c r="N416" s="576"/>
      <c r="O416" s="577">
        <v>50000000</v>
      </c>
      <c r="P416" s="576"/>
      <c r="Q416" s="514" t="s">
        <v>2524</v>
      </c>
    </row>
    <row r="417" spans="1:17" s="594" customFormat="1" ht="36" customHeight="1" x14ac:dyDescent="0.25">
      <c r="A417" s="529">
        <v>15</v>
      </c>
      <c r="B417" s="574" t="s">
        <v>1503</v>
      </c>
      <c r="C417" s="525" t="s">
        <v>1116</v>
      </c>
      <c r="D417" s="535" t="s">
        <v>1366</v>
      </c>
      <c r="E417" s="526" t="s">
        <v>1276</v>
      </c>
      <c r="F417" s="526" t="s">
        <v>1367</v>
      </c>
      <c r="G417" s="527" t="s">
        <v>1119</v>
      </c>
      <c r="H417" s="527" t="s">
        <v>1119</v>
      </c>
      <c r="I417" s="527" t="s">
        <v>1119</v>
      </c>
      <c r="J417" s="527" t="s">
        <v>1119</v>
      </c>
      <c r="K417" s="527" t="s">
        <v>1119</v>
      </c>
      <c r="L417" s="526" t="s">
        <v>1368</v>
      </c>
      <c r="M417" s="526" t="s">
        <v>1369</v>
      </c>
      <c r="N417" s="528"/>
      <c r="O417" s="528">
        <v>40000000</v>
      </c>
      <c r="P417" s="528"/>
      <c r="Q417" s="514" t="s">
        <v>2524</v>
      </c>
    </row>
    <row r="418" spans="1:17" s="594" customFormat="1" ht="50.1" customHeight="1" x14ac:dyDescent="0.25">
      <c r="A418" s="529">
        <v>16</v>
      </c>
      <c r="B418" s="574" t="s">
        <v>2535</v>
      </c>
      <c r="C418" s="526" t="s">
        <v>2536</v>
      </c>
      <c r="D418" s="526" t="s">
        <v>1362</v>
      </c>
      <c r="E418" s="526" t="s">
        <v>1363</v>
      </c>
      <c r="F418" s="526" t="s">
        <v>1313</v>
      </c>
      <c r="G418" s="527" t="s">
        <v>1119</v>
      </c>
      <c r="H418" s="527" t="s">
        <v>1119</v>
      </c>
      <c r="I418" s="527" t="s">
        <v>1119</v>
      </c>
      <c r="J418" s="527" t="s">
        <v>1119</v>
      </c>
      <c r="K418" s="527" t="s">
        <v>1119</v>
      </c>
      <c r="L418" s="526" t="s">
        <v>1364</v>
      </c>
      <c r="M418" s="526" t="s">
        <v>1365</v>
      </c>
      <c r="N418" s="576"/>
      <c r="O418" s="549">
        <f>35*2500000</f>
        <v>87500000</v>
      </c>
      <c r="P418" s="549"/>
      <c r="Q418" s="514" t="s">
        <v>2524</v>
      </c>
    </row>
    <row r="419" spans="1:17" s="594" customFormat="1" ht="39" customHeight="1" x14ac:dyDescent="0.25">
      <c r="A419" s="529">
        <v>17</v>
      </c>
      <c r="B419" s="574" t="s">
        <v>1498</v>
      </c>
      <c r="C419" s="525" t="s">
        <v>1116</v>
      </c>
      <c r="D419" s="535" t="s">
        <v>1375</v>
      </c>
      <c r="E419" s="526" t="s">
        <v>1376</v>
      </c>
      <c r="F419" s="526" t="s">
        <v>1275</v>
      </c>
      <c r="G419" s="527" t="s">
        <v>1119</v>
      </c>
      <c r="H419" s="527" t="s">
        <v>1119</v>
      </c>
      <c r="I419" s="527" t="s">
        <v>1119</v>
      </c>
      <c r="J419" s="527" t="s">
        <v>1119</v>
      </c>
      <c r="K419" s="527" t="s">
        <v>1119</v>
      </c>
      <c r="L419" s="526" t="s">
        <v>1377</v>
      </c>
      <c r="M419" s="526" t="s">
        <v>1378</v>
      </c>
      <c r="N419" s="539"/>
      <c r="O419" s="528">
        <v>10000000</v>
      </c>
      <c r="P419" s="528"/>
      <c r="Q419" s="514" t="s">
        <v>2537</v>
      </c>
    </row>
    <row r="420" spans="1:17" s="594" customFormat="1" ht="37.5" customHeight="1" x14ac:dyDescent="0.25">
      <c r="A420" s="529">
        <v>18</v>
      </c>
      <c r="B420" s="574" t="s">
        <v>1061</v>
      </c>
      <c r="C420" s="578" t="s">
        <v>1343</v>
      </c>
      <c r="D420" s="526" t="s">
        <v>1370</v>
      </c>
      <c r="E420" s="526" t="s">
        <v>1371</v>
      </c>
      <c r="F420" s="526" t="s">
        <v>1372</v>
      </c>
      <c r="G420" s="527" t="s">
        <v>1119</v>
      </c>
      <c r="H420" s="527" t="s">
        <v>1119</v>
      </c>
      <c r="I420" s="527" t="s">
        <v>1119</v>
      </c>
      <c r="J420" s="527" t="s">
        <v>1119</v>
      </c>
      <c r="K420" s="527" t="s">
        <v>1119</v>
      </c>
      <c r="L420" s="526" t="s">
        <v>1373</v>
      </c>
      <c r="M420" s="579" t="s">
        <v>569</v>
      </c>
      <c r="N420" s="528"/>
      <c r="O420" s="528">
        <v>75000000</v>
      </c>
      <c r="P420" s="528"/>
      <c r="Q420" s="514" t="s">
        <v>2538</v>
      </c>
    </row>
    <row r="421" spans="1:17" s="594" customFormat="1" ht="52.5" customHeight="1" x14ac:dyDescent="0.25">
      <c r="A421" s="529">
        <v>19</v>
      </c>
      <c r="B421" s="574" t="s">
        <v>521</v>
      </c>
      <c r="C421" s="578" t="s">
        <v>1213</v>
      </c>
      <c r="D421" s="526" t="s">
        <v>1386</v>
      </c>
      <c r="E421" s="526" t="s">
        <v>1387</v>
      </c>
      <c r="F421" s="526" t="s">
        <v>1388</v>
      </c>
      <c r="G421" s="527" t="s">
        <v>1119</v>
      </c>
      <c r="H421" s="527" t="s">
        <v>1119</v>
      </c>
      <c r="I421" s="527" t="s">
        <v>1119</v>
      </c>
      <c r="J421" s="527" t="s">
        <v>1119</v>
      </c>
      <c r="K421" s="527" t="s">
        <v>1119</v>
      </c>
      <c r="L421" s="535" t="s">
        <v>1389</v>
      </c>
      <c r="M421" s="526" t="s">
        <v>1390</v>
      </c>
      <c r="N421" s="576"/>
      <c r="O421" s="528">
        <f>12*20000*20</f>
        <v>4800000</v>
      </c>
      <c r="P421" s="576"/>
      <c r="Q421" s="514" t="s">
        <v>2539</v>
      </c>
    </row>
    <row r="422" spans="1:17" s="594" customFormat="1" ht="60.75" customHeight="1" x14ac:dyDescent="0.25">
      <c r="A422" s="529">
        <v>20</v>
      </c>
      <c r="B422" s="574" t="s">
        <v>2244</v>
      </c>
      <c r="C422" s="526" t="s">
        <v>1206</v>
      </c>
      <c r="D422" s="526" t="s">
        <v>1302</v>
      </c>
      <c r="E422" s="526" t="s">
        <v>1303</v>
      </c>
      <c r="F422" s="526" t="s">
        <v>1304</v>
      </c>
      <c r="G422" s="527" t="s">
        <v>1119</v>
      </c>
      <c r="H422" s="527" t="s">
        <v>1119</v>
      </c>
      <c r="I422" s="527" t="s">
        <v>1119</v>
      </c>
      <c r="J422" s="527" t="s">
        <v>1119</v>
      </c>
      <c r="K422" s="527" t="s">
        <v>1119</v>
      </c>
      <c r="L422" s="526" t="s">
        <v>16</v>
      </c>
      <c r="M422" s="579" t="s">
        <v>1305</v>
      </c>
      <c r="N422" s="528"/>
      <c r="O422" s="528">
        <f>(1350000*7)+380800</f>
        <v>9830800</v>
      </c>
      <c r="P422" s="528"/>
      <c r="Q422" s="514" t="s">
        <v>2541</v>
      </c>
    </row>
    <row r="423" spans="1:17" s="594" customFormat="1" ht="88.5" customHeight="1" x14ac:dyDescent="0.25">
      <c r="A423" s="529">
        <v>21</v>
      </c>
      <c r="B423" s="574" t="s">
        <v>2542</v>
      </c>
      <c r="C423" s="525" t="s">
        <v>1357</v>
      </c>
      <c r="D423" s="526" t="s">
        <v>1358</v>
      </c>
      <c r="E423" s="526" t="s">
        <v>1359</v>
      </c>
      <c r="F423" s="526" t="s">
        <v>1313</v>
      </c>
      <c r="G423" s="527" t="s">
        <v>1119</v>
      </c>
      <c r="H423" s="527" t="s">
        <v>1119</v>
      </c>
      <c r="I423" s="527" t="s">
        <v>1119</v>
      </c>
      <c r="J423" s="527" t="s">
        <v>1119</v>
      </c>
      <c r="K423" s="527" t="s">
        <v>1119</v>
      </c>
      <c r="L423" s="526" t="s">
        <v>1356</v>
      </c>
      <c r="M423" s="526" t="s">
        <v>1360</v>
      </c>
      <c r="N423" s="528"/>
      <c r="O423" s="528">
        <f>395*4000000</f>
        <v>1580000000</v>
      </c>
      <c r="P423" s="528"/>
      <c r="Q423" s="514" t="s">
        <v>2524</v>
      </c>
    </row>
    <row r="424" spans="1:17" s="594" customFormat="1" ht="32.25" customHeight="1" x14ac:dyDescent="0.25">
      <c r="A424" s="529">
        <v>22</v>
      </c>
      <c r="B424" s="551" t="s">
        <v>1632</v>
      </c>
      <c r="C424" s="540" t="s">
        <v>1192</v>
      </c>
      <c r="D424" s="538" t="s">
        <v>1279</v>
      </c>
      <c r="E424" s="538" t="s">
        <v>1280</v>
      </c>
      <c r="F424" s="538" t="s">
        <v>1281</v>
      </c>
      <c r="G424" s="527" t="s">
        <v>1119</v>
      </c>
      <c r="H424" s="527" t="s">
        <v>1119</v>
      </c>
      <c r="I424" s="527" t="s">
        <v>1119</v>
      </c>
      <c r="J424" s="527" t="s">
        <v>1119</v>
      </c>
      <c r="K424" s="527" t="s">
        <v>1119</v>
      </c>
      <c r="L424" s="526" t="s">
        <v>1282</v>
      </c>
      <c r="M424" s="526" t="s">
        <v>1283</v>
      </c>
      <c r="N424" s="528"/>
      <c r="O424" s="528">
        <v>6000000</v>
      </c>
      <c r="P424" s="528"/>
      <c r="Q424" s="514" t="s">
        <v>2543</v>
      </c>
    </row>
    <row r="425" spans="1:17" s="594" customFormat="1" ht="35.1" customHeight="1" x14ac:dyDescent="0.25">
      <c r="A425" s="529">
        <v>23</v>
      </c>
      <c r="B425" s="551" t="s">
        <v>1632</v>
      </c>
      <c r="C425" s="540" t="s">
        <v>1192</v>
      </c>
      <c r="D425" s="538" t="s">
        <v>1284</v>
      </c>
      <c r="E425" s="538" t="s">
        <v>1285</v>
      </c>
      <c r="F425" s="538" t="s">
        <v>1281</v>
      </c>
      <c r="G425" s="527" t="s">
        <v>1119</v>
      </c>
      <c r="H425" s="527" t="s">
        <v>1119</v>
      </c>
      <c r="I425" s="527" t="s">
        <v>1119</v>
      </c>
      <c r="J425" s="527" t="s">
        <v>1119</v>
      </c>
      <c r="K425" s="527" t="s">
        <v>1119</v>
      </c>
      <c r="L425" s="526" t="s">
        <v>1282</v>
      </c>
      <c r="M425" s="526" t="s">
        <v>1286</v>
      </c>
      <c r="N425" s="528"/>
      <c r="O425" s="528">
        <v>9000000</v>
      </c>
      <c r="P425" s="528"/>
      <c r="Q425" s="514" t="s">
        <v>2543</v>
      </c>
    </row>
    <row r="426" spans="1:17" s="594" customFormat="1" ht="28.5" customHeight="1" x14ac:dyDescent="0.25">
      <c r="A426" s="529">
        <v>24</v>
      </c>
      <c r="B426" s="551" t="s">
        <v>1632</v>
      </c>
      <c r="C426" s="540" t="s">
        <v>1192</v>
      </c>
      <c r="D426" s="538" t="s">
        <v>1287</v>
      </c>
      <c r="E426" s="538" t="s">
        <v>1280</v>
      </c>
      <c r="F426" s="538" t="s">
        <v>1281</v>
      </c>
      <c r="G426" s="527" t="s">
        <v>1119</v>
      </c>
      <c r="H426" s="527" t="s">
        <v>1119</v>
      </c>
      <c r="I426" s="527" t="s">
        <v>1119</v>
      </c>
      <c r="J426" s="527" t="s">
        <v>1119</v>
      </c>
      <c r="K426" s="527" t="s">
        <v>1119</v>
      </c>
      <c r="L426" s="526" t="s">
        <v>1282</v>
      </c>
      <c r="M426" s="526" t="s">
        <v>1288</v>
      </c>
      <c r="N426" s="528"/>
      <c r="O426" s="528">
        <v>26000000</v>
      </c>
      <c r="P426" s="528"/>
      <c r="Q426" s="514" t="s">
        <v>2543</v>
      </c>
    </row>
    <row r="427" spans="1:17" s="594" customFormat="1" ht="48.75" customHeight="1" x14ac:dyDescent="0.25">
      <c r="A427" s="529">
        <v>25</v>
      </c>
      <c r="B427" s="574" t="s">
        <v>2287</v>
      </c>
      <c r="C427" s="525" t="s">
        <v>1013</v>
      </c>
      <c r="D427" s="526" t="s">
        <v>1329</v>
      </c>
      <c r="E427" s="526" t="s">
        <v>1330</v>
      </c>
      <c r="F427" s="526" t="s">
        <v>1331</v>
      </c>
      <c r="G427" s="527" t="s">
        <v>1119</v>
      </c>
      <c r="H427" s="527" t="s">
        <v>1119</v>
      </c>
      <c r="I427" s="527" t="s">
        <v>1119</v>
      </c>
      <c r="J427" s="527" t="s">
        <v>1119</v>
      </c>
      <c r="K427" s="527" t="s">
        <v>1119</v>
      </c>
      <c r="L427" s="526" t="s">
        <v>1282</v>
      </c>
      <c r="M427" s="526" t="s">
        <v>1332</v>
      </c>
      <c r="N427" s="528"/>
      <c r="O427" s="528">
        <v>20000000</v>
      </c>
      <c r="P427" s="528"/>
      <c r="Q427" s="529" t="s">
        <v>2544</v>
      </c>
    </row>
    <row r="428" spans="1:17" s="594" customFormat="1" ht="47.25" customHeight="1" x14ac:dyDescent="0.25">
      <c r="A428" s="529">
        <v>26</v>
      </c>
      <c r="B428" s="551" t="s">
        <v>1238</v>
      </c>
      <c r="C428" s="525" t="s">
        <v>1192</v>
      </c>
      <c r="D428" s="526" t="s">
        <v>2546</v>
      </c>
      <c r="E428" s="526" t="s">
        <v>1289</v>
      </c>
      <c r="F428" s="526" t="s">
        <v>1290</v>
      </c>
      <c r="G428" s="527" t="s">
        <v>1119</v>
      </c>
      <c r="H428" s="527" t="s">
        <v>1119</v>
      </c>
      <c r="I428" s="527" t="s">
        <v>1119</v>
      </c>
      <c r="J428" s="527" t="s">
        <v>1119</v>
      </c>
      <c r="K428" s="527" t="s">
        <v>1119</v>
      </c>
      <c r="L428" s="526" t="s">
        <v>1291</v>
      </c>
      <c r="M428" s="526" t="s">
        <v>1292</v>
      </c>
      <c r="N428" s="528"/>
      <c r="O428" s="528">
        <v>25000000</v>
      </c>
      <c r="P428" s="528"/>
      <c r="Q428" s="514" t="s">
        <v>2543</v>
      </c>
    </row>
    <row r="429" spans="1:17" s="594" customFormat="1" ht="39" customHeight="1" x14ac:dyDescent="0.25">
      <c r="A429" s="529">
        <v>27</v>
      </c>
      <c r="B429" s="551" t="s">
        <v>2547</v>
      </c>
      <c r="C429" s="540" t="s">
        <v>1328</v>
      </c>
      <c r="D429" s="526" t="s">
        <v>1293</v>
      </c>
      <c r="E429" s="526" t="s">
        <v>1294</v>
      </c>
      <c r="F429" s="526" t="s">
        <v>16</v>
      </c>
      <c r="G429" s="527" t="s">
        <v>1119</v>
      </c>
      <c r="H429" s="527" t="s">
        <v>1119</v>
      </c>
      <c r="I429" s="527" t="s">
        <v>1119</v>
      </c>
      <c r="J429" s="527" t="s">
        <v>1119</v>
      </c>
      <c r="K429" s="527" t="s">
        <v>1119</v>
      </c>
      <c r="L429" s="526" t="s">
        <v>1141</v>
      </c>
      <c r="M429" s="526" t="s">
        <v>1295</v>
      </c>
      <c r="N429" s="528"/>
      <c r="O429" s="528">
        <v>5000000</v>
      </c>
      <c r="P429" s="528"/>
      <c r="Q429" s="514" t="s">
        <v>2543</v>
      </c>
    </row>
    <row r="430" spans="1:17" s="594" customFormat="1" ht="47.25" customHeight="1" x14ac:dyDescent="0.25">
      <c r="A430" s="529">
        <v>28</v>
      </c>
      <c r="B430" s="574" t="s">
        <v>809</v>
      </c>
      <c r="C430" s="575" t="s">
        <v>2548</v>
      </c>
      <c r="D430" s="526" t="s">
        <v>1338</v>
      </c>
      <c r="E430" s="526" t="s">
        <v>1339</v>
      </c>
      <c r="F430" s="526" t="s">
        <v>1340</v>
      </c>
      <c r="G430" s="527" t="s">
        <v>1119</v>
      </c>
      <c r="H430" s="527" t="s">
        <v>1119</v>
      </c>
      <c r="I430" s="527" t="s">
        <v>1119</v>
      </c>
      <c r="J430" s="527" t="s">
        <v>1119</v>
      </c>
      <c r="K430" s="527" t="s">
        <v>1119</v>
      </c>
      <c r="L430" s="526" t="s">
        <v>16</v>
      </c>
      <c r="M430" s="526" t="s">
        <v>1314</v>
      </c>
      <c r="N430" s="548"/>
      <c r="O430" s="549"/>
      <c r="P430" s="549">
        <v>700000000</v>
      </c>
      <c r="Q430" s="524" t="s">
        <v>1197</v>
      </c>
    </row>
    <row r="431" spans="1:17" s="594" customFormat="1" ht="53.25" customHeight="1" x14ac:dyDescent="0.25">
      <c r="A431" s="529">
        <v>29</v>
      </c>
      <c r="B431" s="541" t="s">
        <v>874</v>
      </c>
      <c r="C431" s="542" t="s">
        <v>2549</v>
      </c>
      <c r="D431" s="526" t="s">
        <v>1382</v>
      </c>
      <c r="E431" s="526" t="s">
        <v>1383</v>
      </c>
      <c r="F431" s="526" t="s">
        <v>1384</v>
      </c>
      <c r="G431" s="527" t="s">
        <v>1119</v>
      </c>
      <c r="H431" s="527" t="s">
        <v>1119</v>
      </c>
      <c r="I431" s="527" t="s">
        <v>1119</v>
      </c>
      <c r="J431" s="527" t="s">
        <v>1119</v>
      </c>
      <c r="K431" s="527" t="s">
        <v>1119</v>
      </c>
      <c r="L431" s="526" t="s">
        <v>16</v>
      </c>
      <c r="M431" s="526" t="s">
        <v>1385</v>
      </c>
      <c r="N431" s="548"/>
      <c r="O431" s="549">
        <f>(750000*65)</f>
        <v>48750000</v>
      </c>
      <c r="P431" s="549"/>
      <c r="Q431" s="514" t="s">
        <v>2550</v>
      </c>
    </row>
    <row r="432" spans="1:17" s="594" customFormat="1" ht="60" customHeight="1" x14ac:dyDescent="0.25">
      <c r="A432" s="529">
        <v>30</v>
      </c>
      <c r="B432" s="541" t="s">
        <v>874</v>
      </c>
      <c r="C432" s="542" t="s">
        <v>2549</v>
      </c>
      <c r="D432" s="535" t="s">
        <v>1323</v>
      </c>
      <c r="E432" s="535" t="s">
        <v>1324</v>
      </c>
      <c r="F432" s="535" t="s">
        <v>1325</v>
      </c>
      <c r="G432" s="527" t="s">
        <v>1119</v>
      </c>
      <c r="H432" s="527" t="s">
        <v>1119</v>
      </c>
      <c r="I432" s="527" t="s">
        <v>1119</v>
      </c>
      <c r="J432" s="527" t="s">
        <v>1119</v>
      </c>
      <c r="K432" s="527" t="s">
        <v>1119</v>
      </c>
      <c r="L432" s="535" t="s">
        <v>1326</v>
      </c>
      <c r="M432" s="526" t="s">
        <v>1327</v>
      </c>
      <c r="N432" s="581"/>
      <c r="O432" s="582">
        <v>8950000</v>
      </c>
      <c r="P432" s="536"/>
      <c r="Q432" s="543" t="s">
        <v>2551</v>
      </c>
    </row>
    <row r="433" spans="1:17" s="594" customFormat="1" ht="47.25" x14ac:dyDescent="0.25">
      <c r="A433" s="529">
        <v>31</v>
      </c>
      <c r="B433" s="574" t="s">
        <v>531</v>
      </c>
      <c r="C433" s="526" t="s">
        <v>1249</v>
      </c>
      <c r="D433" s="526" t="s">
        <v>1334</v>
      </c>
      <c r="E433" s="526" t="s">
        <v>1335</v>
      </c>
      <c r="F433" s="526" t="s">
        <v>1336</v>
      </c>
      <c r="G433" s="527" t="s">
        <v>1119</v>
      </c>
      <c r="H433" s="527" t="s">
        <v>1119</v>
      </c>
      <c r="I433" s="527" t="s">
        <v>1119</v>
      </c>
      <c r="J433" s="527" t="s">
        <v>1119</v>
      </c>
      <c r="K433" s="527" t="s">
        <v>1119</v>
      </c>
      <c r="L433" s="526" t="s">
        <v>16</v>
      </c>
      <c r="M433" s="526" t="s">
        <v>1337</v>
      </c>
      <c r="N433" s="576"/>
      <c r="O433" s="577">
        <f>(6900000*2)+(3220000*1)+(9026350*1)</f>
        <v>26046350</v>
      </c>
      <c r="P433" s="576"/>
      <c r="Q433" s="514" t="s">
        <v>2552</v>
      </c>
    </row>
    <row r="434" spans="1:17" s="594" customFormat="1" ht="42.75" customHeight="1" x14ac:dyDescent="0.25">
      <c r="A434" s="529">
        <v>32</v>
      </c>
      <c r="B434" s="574" t="s">
        <v>1159</v>
      </c>
      <c r="C434" s="555" t="s">
        <v>2553</v>
      </c>
      <c r="D434" s="526" t="s">
        <v>1341</v>
      </c>
      <c r="E434" s="526" t="s">
        <v>1342</v>
      </c>
      <c r="F434" s="526" t="s">
        <v>1252</v>
      </c>
      <c r="G434" s="527" t="s">
        <v>1119</v>
      </c>
      <c r="H434" s="527" t="s">
        <v>1119</v>
      </c>
      <c r="I434" s="527" t="s">
        <v>1119</v>
      </c>
      <c r="J434" s="527" t="s">
        <v>1119</v>
      </c>
      <c r="K434" s="527" t="s">
        <v>1119</v>
      </c>
      <c r="L434" s="526" t="s">
        <v>1253</v>
      </c>
      <c r="M434" s="526" t="s">
        <v>806</v>
      </c>
      <c r="N434" s="548"/>
      <c r="O434" s="549"/>
      <c r="P434" s="549">
        <v>10000000</v>
      </c>
      <c r="Q434" s="514" t="s">
        <v>2554</v>
      </c>
    </row>
    <row r="435" spans="1:17" s="594" customFormat="1" ht="52.5" customHeight="1" x14ac:dyDescent="0.25">
      <c r="A435" s="529">
        <v>33</v>
      </c>
      <c r="B435" s="574" t="s">
        <v>1711</v>
      </c>
      <c r="C435" s="526" t="s">
        <v>2555</v>
      </c>
      <c r="D435" s="526" t="s">
        <v>1316</v>
      </c>
      <c r="E435" s="526" t="s">
        <v>1317</v>
      </c>
      <c r="F435" s="526" t="s">
        <v>1318</v>
      </c>
      <c r="G435" s="527" t="s">
        <v>1119</v>
      </c>
      <c r="H435" s="527" t="s">
        <v>1119</v>
      </c>
      <c r="I435" s="527" t="s">
        <v>1119</v>
      </c>
      <c r="J435" s="527" t="s">
        <v>1119</v>
      </c>
      <c r="K435" s="527" t="s">
        <v>1119</v>
      </c>
      <c r="L435" s="526" t="s">
        <v>16</v>
      </c>
      <c r="M435" s="526" t="s">
        <v>106</v>
      </c>
      <c r="N435" s="539"/>
      <c r="O435" s="528"/>
      <c r="P435" s="528">
        <v>7000000</v>
      </c>
      <c r="Q435" s="514" t="s">
        <v>2556</v>
      </c>
    </row>
    <row r="436" spans="1:17" s="594" customFormat="1" ht="46.5" customHeight="1" x14ac:dyDescent="0.25">
      <c r="A436" s="529">
        <v>34</v>
      </c>
      <c r="B436" s="574" t="s">
        <v>1711</v>
      </c>
      <c r="C436" s="526" t="s">
        <v>2555</v>
      </c>
      <c r="D436" s="535" t="s">
        <v>1319</v>
      </c>
      <c r="E436" s="526" t="s">
        <v>1320</v>
      </c>
      <c r="F436" s="526" t="s">
        <v>820</v>
      </c>
      <c r="G436" s="527" t="s">
        <v>1119</v>
      </c>
      <c r="H436" s="527" t="s">
        <v>1119</v>
      </c>
      <c r="I436" s="527" t="s">
        <v>1119</v>
      </c>
      <c r="J436" s="527" t="s">
        <v>1119</v>
      </c>
      <c r="K436" s="527" t="s">
        <v>1119</v>
      </c>
      <c r="L436" s="526" t="s">
        <v>16</v>
      </c>
      <c r="M436" s="526" t="s">
        <v>1299</v>
      </c>
      <c r="N436" s="528"/>
      <c r="O436" s="528"/>
      <c r="P436" s="528">
        <v>8000000</v>
      </c>
      <c r="Q436" s="514" t="s">
        <v>2556</v>
      </c>
    </row>
    <row r="437" spans="1:17" s="594" customFormat="1" ht="39.75" customHeight="1" x14ac:dyDescent="0.25">
      <c r="A437" s="529">
        <v>35</v>
      </c>
      <c r="B437" s="574" t="s">
        <v>1711</v>
      </c>
      <c r="C437" s="526" t="s">
        <v>2555</v>
      </c>
      <c r="D437" s="538" t="s">
        <v>1321</v>
      </c>
      <c r="E437" s="538" t="s">
        <v>1297</v>
      </c>
      <c r="F437" s="538" t="s">
        <v>1282</v>
      </c>
      <c r="G437" s="527" t="s">
        <v>1119</v>
      </c>
      <c r="H437" s="527" t="s">
        <v>1119</v>
      </c>
      <c r="I437" s="527" t="s">
        <v>1119</v>
      </c>
      <c r="J437" s="527" t="s">
        <v>1119</v>
      </c>
      <c r="K437" s="527" t="s">
        <v>1119</v>
      </c>
      <c r="L437" s="526" t="s">
        <v>1298</v>
      </c>
      <c r="M437" s="526" t="s">
        <v>1299</v>
      </c>
      <c r="N437" s="528"/>
      <c r="O437" s="528"/>
      <c r="P437" s="528">
        <v>8000000</v>
      </c>
      <c r="Q437" s="514" t="s">
        <v>2556</v>
      </c>
    </row>
    <row r="438" spans="1:17" s="594" customFormat="1" ht="36" customHeight="1" x14ac:dyDescent="0.25">
      <c r="A438" s="529">
        <v>36</v>
      </c>
      <c r="B438" s="574" t="s">
        <v>1711</v>
      </c>
      <c r="C438" s="526" t="s">
        <v>2555</v>
      </c>
      <c r="D438" s="538" t="s">
        <v>1296</v>
      </c>
      <c r="E438" s="538" t="s">
        <v>1297</v>
      </c>
      <c r="F438" s="538" t="s">
        <v>1282</v>
      </c>
      <c r="G438" s="527" t="s">
        <v>1119</v>
      </c>
      <c r="H438" s="527" t="s">
        <v>1119</v>
      </c>
      <c r="I438" s="527" t="s">
        <v>1119</v>
      </c>
      <c r="J438" s="527" t="s">
        <v>1119</v>
      </c>
      <c r="K438" s="527" t="s">
        <v>1119</v>
      </c>
      <c r="L438" s="526" t="s">
        <v>1298</v>
      </c>
      <c r="M438" s="526" t="s">
        <v>1299</v>
      </c>
      <c r="N438" s="528"/>
      <c r="O438" s="528"/>
      <c r="P438" s="528">
        <v>8000000</v>
      </c>
      <c r="Q438" s="529" t="s">
        <v>1300</v>
      </c>
    </row>
    <row r="439" spans="1:17" s="594" customFormat="1" ht="41.25" customHeight="1" x14ac:dyDescent="0.25">
      <c r="A439" s="529">
        <v>37</v>
      </c>
      <c r="B439" s="551" t="s">
        <v>1685</v>
      </c>
      <c r="C439" s="540" t="s">
        <v>1311</v>
      </c>
      <c r="D439" s="538" t="s">
        <v>2557</v>
      </c>
      <c r="E439" s="526" t="s">
        <v>1312</v>
      </c>
      <c r="F439" s="526" t="s">
        <v>1313</v>
      </c>
      <c r="G439" s="527" t="s">
        <v>1119</v>
      </c>
      <c r="H439" s="527" t="s">
        <v>1119</v>
      </c>
      <c r="I439" s="527" t="s">
        <v>1119</v>
      </c>
      <c r="J439" s="527" t="s">
        <v>1119</v>
      </c>
      <c r="K439" s="527" t="s">
        <v>1119</v>
      </c>
      <c r="L439" s="526" t="s">
        <v>1141</v>
      </c>
      <c r="M439" s="526" t="s">
        <v>1314</v>
      </c>
      <c r="N439" s="528"/>
      <c r="O439" s="528"/>
      <c r="P439" s="528">
        <v>20000000</v>
      </c>
      <c r="Q439" s="529" t="s">
        <v>2558</v>
      </c>
    </row>
    <row r="440" spans="1:17" s="594" customFormat="1" ht="41.25" customHeight="1" x14ac:dyDescent="0.25">
      <c r="A440" s="529">
        <v>38</v>
      </c>
      <c r="B440" s="559" t="s">
        <v>923</v>
      </c>
      <c r="C440" s="540" t="s">
        <v>2523</v>
      </c>
      <c r="D440" s="538" t="s">
        <v>1344</v>
      </c>
      <c r="E440" s="538" t="s">
        <v>2561</v>
      </c>
      <c r="F440" s="526" t="s">
        <v>1345</v>
      </c>
      <c r="G440" s="527" t="s">
        <v>1119</v>
      </c>
      <c r="H440" s="527" t="s">
        <v>1119</v>
      </c>
      <c r="I440" s="527" t="s">
        <v>1119</v>
      </c>
      <c r="J440" s="527" t="s">
        <v>1119</v>
      </c>
      <c r="K440" s="527" t="s">
        <v>1119</v>
      </c>
      <c r="L440" s="526" t="s">
        <v>1346</v>
      </c>
      <c r="M440" s="526" t="s">
        <v>1347</v>
      </c>
      <c r="N440" s="528"/>
      <c r="O440" s="528">
        <v>30000000</v>
      </c>
      <c r="P440" s="528"/>
      <c r="Q440" s="529" t="s">
        <v>2562</v>
      </c>
    </row>
    <row r="441" spans="1:17" s="594" customFormat="1" ht="38.25" customHeight="1" x14ac:dyDescent="0.25">
      <c r="A441" s="529">
        <v>39</v>
      </c>
      <c r="B441" s="574" t="s">
        <v>1333</v>
      </c>
      <c r="C441" s="535" t="s">
        <v>1179</v>
      </c>
      <c r="D441" s="538" t="s">
        <v>1307</v>
      </c>
      <c r="E441" s="526" t="s">
        <v>1308</v>
      </c>
      <c r="F441" s="526" t="s">
        <v>1309</v>
      </c>
      <c r="G441" s="527" t="s">
        <v>1119</v>
      </c>
      <c r="H441" s="527" t="s">
        <v>1119</v>
      </c>
      <c r="I441" s="527" t="s">
        <v>1119</v>
      </c>
      <c r="J441" s="527" t="s">
        <v>1119</v>
      </c>
      <c r="K441" s="527" t="s">
        <v>1119</v>
      </c>
      <c r="L441" s="526" t="s">
        <v>16</v>
      </c>
      <c r="M441" s="538" t="s">
        <v>1310</v>
      </c>
      <c r="N441" s="528"/>
      <c r="O441" s="550">
        <f>15364000*2</f>
        <v>30728000</v>
      </c>
      <c r="P441" s="550"/>
      <c r="Q441" s="583" t="s">
        <v>2563</v>
      </c>
    </row>
    <row r="442" spans="1:17" s="594" customFormat="1" ht="50.25" customHeight="1" x14ac:dyDescent="0.25">
      <c r="A442" s="529">
        <v>40</v>
      </c>
      <c r="B442" s="574" t="s">
        <v>1069</v>
      </c>
      <c r="C442" s="525" t="s">
        <v>1116</v>
      </c>
      <c r="D442" s="535" t="s">
        <v>1256</v>
      </c>
      <c r="E442" s="526" t="s">
        <v>1380</v>
      </c>
      <c r="F442" s="526" t="s">
        <v>1367</v>
      </c>
      <c r="G442" s="527" t="s">
        <v>1119</v>
      </c>
      <c r="H442" s="527" t="s">
        <v>1119</v>
      </c>
      <c r="I442" s="527" t="s">
        <v>1119</v>
      </c>
      <c r="J442" s="527" t="s">
        <v>1119</v>
      </c>
      <c r="K442" s="527" t="s">
        <v>1119</v>
      </c>
      <c r="L442" s="526" t="s">
        <v>1272</v>
      </c>
      <c r="M442" s="526" t="s">
        <v>1381</v>
      </c>
      <c r="N442" s="528"/>
      <c r="O442" s="528">
        <v>45000000</v>
      </c>
      <c r="P442" s="528"/>
      <c r="Q442" s="514" t="s">
        <v>2537</v>
      </c>
    </row>
    <row r="443" spans="1:17" s="80" customFormat="1" ht="15.75" customHeight="1" x14ac:dyDescent="0.2">
      <c r="A443" s="149"/>
      <c r="B443" s="149" t="s">
        <v>38</v>
      </c>
      <c r="C443" s="149"/>
      <c r="D443" s="97"/>
      <c r="E443" s="97"/>
      <c r="F443" s="97"/>
      <c r="G443" s="149"/>
      <c r="H443" s="149"/>
      <c r="I443" s="149"/>
      <c r="J443" s="149"/>
      <c r="K443" s="149"/>
      <c r="L443" s="97"/>
      <c r="M443" s="149"/>
      <c r="N443" s="149"/>
      <c r="O443" s="149"/>
      <c r="P443" s="149"/>
      <c r="Q443" s="149"/>
    </row>
    <row r="444" spans="1:17" s="80" customFormat="1" ht="15.75" customHeight="1" x14ac:dyDescent="0.2">
      <c r="A444" s="828" t="s">
        <v>41</v>
      </c>
      <c r="B444" s="829"/>
      <c r="C444" s="829"/>
      <c r="D444" s="829"/>
      <c r="E444" s="829"/>
      <c r="F444" s="829"/>
      <c r="G444" s="829"/>
      <c r="H444" s="829"/>
      <c r="I444" s="829"/>
      <c r="J444" s="829"/>
      <c r="K444" s="829"/>
      <c r="L444" s="829"/>
      <c r="M444" s="829"/>
      <c r="N444" s="829"/>
      <c r="O444" s="829"/>
      <c r="P444" s="829"/>
      <c r="Q444" s="830"/>
    </row>
    <row r="445" spans="1:17" s="594" customFormat="1" ht="40.5" customHeight="1" x14ac:dyDescent="0.25">
      <c r="A445" s="529">
        <v>1</v>
      </c>
      <c r="B445" s="574" t="s">
        <v>1322</v>
      </c>
      <c r="C445" s="575" t="s">
        <v>1169</v>
      </c>
      <c r="D445" s="525" t="s">
        <v>2570</v>
      </c>
      <c r="E445" s="526" t="s">
        <v>1415</v>
      </c>
      <c r="F445" s="526" t="s">
        <v>1416</v>
      </c>
      <c r="G445" s="527" t="s">
        <v>1119</v>
      </c>
      <c r="H445" s="527" t="s">
        <v>1119</v>
      </c>
      <c r="I445" s="527" t="s">
        <v>1119</v>
      </c>
      <c r="J445" s="527" t="s">
        <v>1119</v>
      </c>
      <c r="K445" s="527" t="s">
        <v>1119</v>
      </c>
      <c r="L445" s="526" t="s">
        <v>1417</v>
      </c>
      <c r="M445" s="587" t="s">
        <v>1254</v>
      </c>
      <c r="N445" s="528">
        <v>48000000</v>
      </c>
      <c r="O445" s="528"/>
      <c r="P445" s="576"/>
      <c r="Q445" s="529" t="s">
        <v>2473</v>
      </c>
    </row>
    <row r="446" spans="1:17" s="594" customFormat="1" ht="33" customHeight="1" x14ac:dyDescent="0.25">
      <c r="A446" s="529">
        <v>2</v>
      </c>
      <c r="B446" s="574" t="s">
        <v>869</v>
      </c>
      <c r="C446" s="575" t="s">
        <v>1392</v>
      </c>
      <c r="D446" s="538" t="s">
        <v>1393</v>
      </c>
      <c r="E446" s="526" t="s">
        <v>1394</v>
      </c>
      <c r="F446" s="526" t="s">
        <v>1395</v>
      </c>
      <c r="G446" s="527" t="s">
        <v>1119</v>
      </c>
      <c r="H446" s="527" t="s">
        <v>1119</v>
      </c>
      <c r="I446" s="527" t="s">
        <v>1119</v>
      </c>
      <c r="J446" s="527" t="s">
        <v>1119</v>
      </c>
      <c r="K446" s="527" t="s">
        <v>1119</v>
      </c>
      <c r="L446" s="526" t="s">
        <v>16</v>
      </c>
      <c r="M446" s="526" t="s">
        <v>1396</v>
      </c>
      <c r="N446" s="528">
        <v>25139784</v>
      </c>
      <c r="O446" s="552"/>
      <c r="P446" s="552"/>
      <c r="Q446" s="529" t="s">
        <v>2473</v>
      </c>
    </row>
    <row r="447" spans="1:17" s="594" customFormat="1" ht="40.5" customHeight="1" x14ac:dyDescent="0.25">
      <c r="A447" s="529">
        <v>3</v>
      </c>
      <c r="B447" s="574" t="s">
        <v>869</v>
      </c>
      <c r="C447" s="575" t="s">
        <v>1392</v>
      </c>
      <c r="D447" s="538" t="s">
        <v>1397</v>
      </c>
      <c r="E447" s="526" t="s">
        <v>1398</v>
      </c>
      <c r="F447" s="526" t="s">
        <v>1399</v>
      </c>
      <c r="G447" s="527" t="s">
        <v>1119</v>
      </c>
      <c r="H447" s="527" t="s">
        <v>1119</v>
      </c>
      <c r="I447" s="527" t="s">
        <v>1119</v>
      </c>
      <c r="J447" s="527" t="s">
        <v>1119</v>
      </c>
      <c r="K447" s="527" t="s">
        <v>1119</v>
      </c>
      <c r="L447" s="526" t="s">
        <v>16</v>
      </c>
      <c r="M447" s="526" t="s">
        <v>1400</v>
      </c>
      <c r="N447" s="528">
        <v>138200000</v>
      </c>
      <c r="O447" s="552"/>
      <c r="P447" s="552"/>
      <c r="Q447" s="529" t="s">
        <v>2473</v>
      </c>
    </row>
    <row r="448" spans="1:17" s="594" customFormat="1" ht="49.5" customHeight="1" x14ac:dyDescent="0.25">
      <c r="A448" s="529">
        <v>4</v>
      </c>
      <c r="B448" s="574" t="s">
        <v>869</v>
      </c>
      <c r="C448" s="575" t="s">
        <v>1392</v>
      </c>
      <c r="D448" s="538" t="s">
        <v>1401</v>
      </c>
      <c r="E448" s="526" t="s">
        <v>1402</v>
      </c>
      <c r="F448" s="526" t="s">
        <v>1403</v>
      </c>
      <c r="G448" s="527" t="s">
        <v>1119</v>
      </c>
      <c r="H448" s="527" t="s">
        <v>1119</v>
      </c>
      <c r="I448" s="527" t="s">
        <v>1119</v>
      </c>
      <c r="J448" s="527" t="s">
        <v>1119</v>
      </c>
      <c r="K448" s="527" t="s">
        <v>1119</v>
      </c>
      <c r="L448" s="526" t="s">
        <v>16</v>
      </c>
      <c r="M448" s="526" t="s">
        <v>1404</v>
      </c>
      <c r="N448" s="528">
        <v>23700000</v>
      </c>
      <c r="O448" s="552"/>
      <c r="P448" s="552"/>
      <c r="Q448" s="529" t="s">
        <v>2473</v>
      </c>
    </row>
    <row r="449" spans="1:17" s="594" customFormat="1" ht="50.1" customHeight="1" x14ac:dyDescent="0.25">
      <c r="A449" s="529">
        <v>5</v>
      </c>
      <c r="B449" s="574" t="s">
        <v>869</v>
      </c>
      <c r="C449" s="575" t="s">
        <v>1392</v>
      </c>
      <c r="D449" s="538" t="s">
        <v>1405</v>
      </c>
      <c r="E449" s="526" t="s">
        <v>1406</v>
      </c>
      <c r="F449" s="526" t="s">
        <v>1407</v>
      </c>
      <c r="G449" s="527" t="s">
        <v>1119</v>
      </c>
      <c r="H449" s="527" t="s">
        <v>1119</v>
      </c>
      <c r="I449" s="527" t="s">
        <v>1119</v>
      </c>
      <c r="J449" s="527" t="s">
        <v>1119</v>
      </c>
      <c r="K449" s="527" t="s">
        <v>1119</v>
      </c>
      <c r="L449" s="526" t="s">
        <v>16</v>
      </c>
      <c r="M449" s="526" t="s">
        <v>1408</v>
      </c>
      <c r="N449" s="528">
        <v>149520000</v>
      </c>
      <c r="O449" s="552"/>
      <c r="P449" s="552"/>
      <c r="Q449" s="529" t="s">
        <v>2473</v>
      </c>
    </row>
    <row r="450" spans="1:17" s="594" customFormat="1" ht="41.25" customHeight="1" x14ac:dyDescent="0.25">
      <c r="A450" s="529">
        <v>6</v>
      </c>
      <c r="B450" s="574" t="s">
        <v>869</v>
      </c>
      <c r="C450" s="575" t="s">
        <v>1392</v>
      </c>
      <c r="D450" s="538" t="s">
        <v>2571</v>
      </c>
      <c r="E450" s="526" t="s">
        <v>1409</v>
      </c>
      <c r="F450" s="526" t="s">
        <v>1410</v>
      </c>
      <c r="G450" s="527" t="s">
        <v>1119</v>
      </c>
      <c r="H450" s="527" t="s">
        <v>1119</v>
      </c>
      <c r="I450" s="527" t="s">
        <v>1119</v>
      </c>
      <c r="J450" s="527" t="s">
        <v>1119</v>
      </c>
      <c r="K450" s="527" t="s">
        <v>1119</v>
      </c>
      <c r="L450" s="526" t="s">
        <v>16</v>
      </c>
      <c r="M450" s="526" t="s">
        <v>1411</v>
      </c>
      <c r="N450" s="528">
        <v>10000000</v>
      </c>
      <c r="O450" s="552"/>
      <c r="P450" s="552"/>
      <c r="Q450" s="529" t="s">
        <v>2473</v>
      </c>
    </row>
    <row r="451" spans="1:17" s="594" customFormat="1" ht="35.25" customHeight="1" x14ac:dyDescent="0.25">
      <c r="A451" s="529">
        <v>7</v>
      </c>
      <c r="B451" s="574" t="s">
        <v>869</v>
      </c>
      <c r="C451" s="575" t="s">
        <v>1392</v>
      </c>
      <c r="D451" s="526" t="s">
        <v>2572</v>
      </c>
      <c r="E451" s="526" t="s">
        <v>1412</v>
      </c>
      <c r="F451" s="526" t="s">
        <v>1413</v>
      </c>
      <c r="G451" s="527" t="s">
        <v>1119</v>
      </c>
      <c r="H451" s="527" t="s">
        <v>1119</v>
      </c>
      <c r="I451" s="527" t="s">
        <v>1119</v>
      </c>
      <c r="J451" s="527" t="s">
        <v>1119</v>
      </c>
      <c r="K451" s="527" t="s">
        <v>1119</v>
      </c>
      <c r="L451" s="526" t="s">
        <v>16</v>
      </c>
      <c r="M451" s="526" t="s">
        <v>1414</v>
      </c>
      <c r="N451" s="528">
        <v>3744000</v>
      </c>
      <c r="O451" s="552"/>
      <c r="P451" s="528"/>
      <c r="Q451" s="529" t="s">
        <v>2473</v>
      </c>
    </row>
    <row r="452" spans="1:17" s="364" customFormat="1" x14ac:dyDescent="0.2">
      <c r="A452" s="368"/>
      <c r="B452" s="78"/>
      <c r="C452" s="369"/>
      <c r="D452" s="338"/>
      <c r="E452" s="370"/>
      <c r="F452" s="370"/>
      <c r="G452" s="371"/>
      <c r="H452" s="371"/>
      <c r="I452" s="371"/>
      <c r="J452" s="371"/>
      <c r="K452" s="371"/>
      <c r="L452" s="370"/>
      <c r="M452" s="372"/>
      <c r="N452" s="373"/>
      <c r="O452" s="373"/>
      <c r="P452" s="374"/>
      <c r="Q452" s="368"/>
    </row>
    <row r="453" spans="1:17" s="364" customFormat="1" ht="18.75" x14ac:dyDescent="0.25">
      <c r="A453" s="833" t="s">
        <v>1420</v>
      </c>
      <c r="B453" s="834"/>
      <c r="C453" s="834"/>
      <c r="D453" s="834"/>
      <c r="E453" s="834"/>
      <c r="F453" s="834"/>
      <c r="G453" s="834"/>
      <c r="H453" s="834"/>
      <c r="I453" s="834"/>
      <c r="J453" s="834"/>
      <c r="K453" s="834"/>
      <c r="L453" s="834"/>
      <c r="M453" s="834"/>
      <c r="N453" s="834"/>
      <c r="O453" s="834"/>
      <c r="P453" s="834"/>
      <c r="Q453" s="834"/>
    </row>
    <row r="454" spans="1:17" s="80" customFormat="1" ht="15" customHeight="1" x14ac:dyDescent="0.2">
      <c r="A454" s="836" t="s">
        <v>0</v>
      </c>
      <c r="B454" s="838" t="s">
        <v>1110</v>
      </c>
      <c r="C454" s="839" t="s">
        <v>1111</v>
      </c>
      <c r="D454" s="839" t="s">
        <v>3</v>
      </c>
      <c r="E454" s="836" t="s">
        <v>4</v>
      </c>
      <c r="F454" s="846" t="s">
        <v>5</v>
      </c>
      <c r="G454" s="829"/>
      <c r="H454" s="829"/>
      <c r="I454" s="829"/>
      <c r="J454" s="829"/>
      <c r="K454" s="830"/>
      <c r="L454" s="839" t="s">
        <v>1112</v>
      </c>
      <c r="M454" s="839" t="s">
        <v>7</v>
      </c>
      <c r="N454" s="847" t="s">
        <v>8</v>
      </c>
      <c r="O454" s="829"/>
      <c r="P454" s="830"/>
      <c r="Q454" s="836" t="s">
        <v>9</v>
      </c>
    </row>
    <row r="455" spans="1:17" s="80" customFormat="1" ht="47.25" customHeight="1" x14ac:dyDescent="0.2">
      <c r="A455" s="837"/>
      <c r="B455" s="837"/>
      <c r="C455" s="837"/>
      <c r="D455" s="837"/>
      <c r="E455" s="837"/>
      <c r="F455" s="836" t="s">
        <v>1113</v>
      </c>
      <c r="G455" s="129" t="s">
        <v>11</v>
      </c>
      <c r="H455" s="129" t="s">
        <v>12</v>
      </c>
      <c r="I455" s="129" t="s">
        <v>13</v>
      </c>
      <c r="J455" s="129" t="s">
        <v>14</v>
      </c>
      <c r="K455" s="129" t="s">
        <v>15</v>
      </c>
      <c r="L455" s="837"/>
      <c r="M455" s="837"/>
      <c r="N455" s="823" t="s">
        <v>16</v>
      </c>
      <c r="O455" s="823" t="s">
        <v>17</v>
      </c>
      <c r="P455" s="823" t="s">
        <v>18</v>
      </c>
      <c r="Q455" s="837"/>
    </row>
    <row r="456" spans="1:17" s="80" customFormat="1" ht="23.25" customHeight="1" x14ac:dyDescent="0.2">
      <c r="A456" s="831"/>
      <c r="B456" s="831"/>
      <c r="C456" s="831"/>
      <c r="D456" s="831"/>
      <c r="E456" s="831"/>
      <c r="F456" s="831"/>
      <c r="G456" s="832" t="s">
        <v>19</v>
      </c>
      <c r="H456" s="829"/>
      <c r="I456" s="829"/>
      <c r="J456" s="829"/>
      <c r="K456" s="830"/>
      <c r="L456" s="831"/>
      <c r="M456" s="831"/>
      <c r="N456" s="831"/>
      <c r="O456" s="831"/>
      <c r="P456" s="831"/>
      <c r="Q456" s="831"/>
    </row>
    <row r="457" spans="1:17" s="80" customFormat="1" ht="20.25" customHeight="1" x14ac:dyDescent="0.2">
      <c r="A457" s="131" t="s">
        <v>20</v>
      </c>
      <c r="B457" s="131" t="s">
        <v>21</v>
      </c>
      <c r="C457" s="131" t="s">
        <v>22</v>
      </c>
      <c r="D457" s="131" t="s">
        <v>23</v>
      </c>
      <c r="E457" s="131" t="s">
        <v>24</v>
      </c>
      <c r="F457" s="131" t="s">
        <v>25</v>
      </c>
      <c r="G457" s="131" t="s">
        <v>26</v>
      </c>
      <c r="H457" s="131" t="s">
        <v>27</v>
      </c>
      <c r="I457" s="131" t="s">
        <v>28</v>
      </c>
      <c r="J457" s="131" t="s">
        <v>29</v>
      </c>
      <c r="K457" s="131" t="s">
        <v>30</v>
      </c>
      <c r="L457" s="131" t="s">
        <v>31</v>
      </c>
      <c r="M457" s="132" t="s">
        <v>32</v>
      </c>
      <c r="N457" s="131" t="s">
        <v>33</v>
      </c>
      <c r="O457" s="131" t="s">
        <v>34</v>
      </c>
      <c r="P457" s="131" t="s">
        <v>35</v>
      </c>
      <c r="Q457" s="131" t="s">
        <v>36</v>
      </c>
    </row>
    <row r="458" spans="1:17" s="80" customFormat="1" x14ac:dyDescent="0.2">
      <c r="A458" s="828" t="s">
        <v>37</v>
      </c>
      <c r="B458" s="829"/>
      <c r="C458" s="829"/>
      <c r="D458" s="829"/>
      <c r="E458" s="829"/>
      <c r="F458" s="829"/>
      <c r="G458" s="829"/>
      <c r="H458" s="829"/>
      <c r="I458" s="829"/>
      <c r="J458" s="829"/>
      <c r="K458" s="829"/>
      <c r="L458" s="829"/>
      <c r="M458" s="829"/>
      <c r="N458" s="829"/>
      <c r="O458" s="829"/>
      <c r="P458" s="829"/>
      <c r="Q458" s="830"/>
    </row>
    <row r="459" spans="1:17" s="80" customFormat="1" ht="15" customHeight="1" x14ac:dyDescent="0.2">
      <c r="A459" s="134"/>
      <c r="B459" s="840" t="s">
        <v>1424</v>
      </c>
      <c r="C459" s="829"/>
      <c r="D459" s="829"/>
      <c r="E459" s="830"/>
      <c r="F459" s="135"/>
      <c r="G459" s="135"/>
      <c r="H459" s="135"/>
      <c r="I459" s="135"/>
      <c r="J459" s="135"/>
      <c r="K459" s="135"/>
      <c r="L459" s="135"/>
      <c r="M459" s="135"/>
      <c r="N459" s="135"/>
      <c r="O459" s="135"/>
      <c r="P459" s="135"/>
      <c r="Q459" s="136"/>
    </row>
    <row r="460" spans="1:17" s="367" customFormat="1" ht="90.75" customHeight="1" x14ac:dyDescent="0.25">
      <c r="A460" s="375">
        <v>1</v>
      </c>
      <c r="B460" s="376" t="s">
        <v>44</v>
      </c>
      <c r="C460" s="377" t="s">
        <v>783</v>
      </c>
      <c r="D460" s="378" t="s">
        <v>1421</v>
      </c>
      <c r="E460" s="166" t="s">
        <v>1422</v>
      </c>
      <c r="F460" s="379" t="s">
        <v>152</v>
      </c>
      <c r="G460" s="380" t="s">
        <v>49</v>
      </c>
      <c r="H460" s="380" t="s">
        <v>49</v>
      </c>
      <c r="I460" s="380" t="s">
        <v>49</v>
      </c>
      <c r="J460" s="380" t="s">
        <v>49</v>
      </c>
      <c r="K460" s="380" t="s">
        <v>49</v>
      </c>
      <c r="L460" s="381" t="s">
        <v>1423</v>
      </c>
      <c r="M460" s="211" t="s">
        <v>292</v>
      </c>
      <c r="N460" s="382">
        <v>200000000</v>
      </c>
      <c r="O460" s="383"/>
      <c r="P460" s="383"/>
      <c r="Q460" s="384"/>
    </row>
    <row r="461" spans="1:17" s="367" customFormat="1" x14ac:dyDescent="0.25">
      <c r="A461" s="190"/>
      <c r="B461" s="190"/>
      <c r="C461" s="190"/>
      <c r="D461" s="190"/>
      <c r="E461" s="190"/>
      <c r="F461" s="190"/>
      <c r="G461" s="190"/>
      <c r="H461" s="190"/>
      <c r="I461" s="190"/>
      <c r="J461" s="190"/>
      <c r="K461" s="190"/>
      <c r="L461" s="192"/>
      <c r="M461" s="190"/>
      <c r="N461" s="190"/>
      <c r="O461" s="190"/>
      <c r="P461" s="190"/>
      <c r="Q461" s="190"/>
    </row>
    <row r="462" spans="1:17" s="367" customFormat="1" x14ac:dyDescent="0.25">
      <c r="A462" s="841" t="s">
        <v>39</v>
      </c>
      <c r="B462" s="842"/>
      <c r="C462" s="842"/>
      <c r="D462" s="842"/>
      <c r="E462" s="842"/>
      <c r="F462" s="842"/>
      <c r="G462" s="842"/>
      <c r="H462" s="842"/>
      <c r="I462" s="842"/>
      <c r="J462" s="842"/>
      <c r="K462" s="842"/>
      <c r="L462" s="842"/>
      <c r="M462" s="842"/>
      <c r="N462" s="842"/>
      <c r="O462" s="842"/>
      <c r="P462" s="842"/>
      <c r="Q462" s="843"/>
    </row>
    <row r="463" spans="1:17" s="394" customFormat="1" ht="66" customHeight="1" x14ac:dyDescent="0.25">
      <c r="A463" s="385">
        <v>1</v>
      </c>
      <c r="B463" s="386" t="s">
        <v>1503</v>
      </c>
      <c r="C463" s="387" t="s">
        <v>409</v>
      </c>
      <c r="D463" s="388" t="s">
        <v>1575</v>
      </c>
      <c r="E463" s="388" t="s">
        <v>1576</v>
      </c>
      <c r="F463" s="389" t="s">
        <v>152</v>
      </c>
      <c r="G463" s="390" t="s">
        <v>49</v>
      </c>
      <c r="H463" s="390" t="s">
        <v>49</v>
      </c>
      <c r="I463" s="390" t="s">
        <v>49</v>
      </c>
      <c r="J463" s="390" t="s">
        <v>49</v>
      </c>
      <c r="K463" s="390" t="s">
        <v>49</v>
      </c>
      <c r="L463" s="391" t="s">
        <v>1577</v>
      </c>
      <c r="M463" s="389" t="s">
        <v>1578</v>
      </c>
      <c r="N463" s="392">
        <v>169899268</v>
      </c>
      <c r="O463" s="392"/>
      <c r="P463" s="392"/>
      <c r="Q463" s="393"/>
    </row>
    <row r="464" spans="1:17" s="394" customFormat="1" ht="58.5" customHeight="1" x14ac:dyDescent="0.25">
      <c r="A464" s="385">
        <f t="shared" ref="A464:A510" si="0">A463+1</f>
        <v>2</v>
      </c>
      <c r="B464" s="385" t="s">
        <v>1115</v>
      </c>
      <c r="C464" s="395" t="s">
        <v>1579</v>
      </c>
      <c r="D464" s="388" t="s">
        <v>1580</v>
      </c>
      <c r="E464" s="388" t="s">
        <v>1581</v>
      </c>
      <c r="F464" s="388" t="s">
        <v>152</v>
      </c>
      <c r="G464" s="390" t="s">
        <v>49</v>
      </c>
      <c r="H464" s="390" t="s">
        <v>49</v>
      </c>
      <c r="I464" s="390" t="s">
        <v>49</v>
      </c>
      <c r="J464" s="390" t="s">
        <v>49</v>
      </c>
      <c r="K464" s="390" t="s">
        <v>49</v>
      </c>
      <c r="L464" s="396" t="s">
        <v>1582</v>
      </c>
      <c r="M464" s="389" t="s">
        <v>1583</v>
      </c>
      <c r="N464" s="392">
        <v>25000000</v>
      </c>
      <c r="O464" s="397"/>
      <c r="P464" s="392"/>
      <c r="Q464" s="398"/>
    </row>
    <row r="465" spans="1:17" s="394" customFormat="1" ht="52.5" customHeight="1" x14ac:dyDescent="0.25">
      <c r="A465" s="385">
        <f t="shared" si="0"/>
        <v>3</v>
      </c>
      <c r="B465" s="385" t="s">
        <v>1306</v>
      </c>
      <c r="C465" s="395" t="s">
        <v>560</v>
      </c>
      <c r="D465" s="399" t="s">
        <v>1584</v>
      </c>
      <c r="E465" s="399" t="s">
        <v>1585</v>
      </c>
      <c r="F465" s="399" t="s">
        <v>1573</v>
      </c>
      <c r="G465" s="390" t="s">
        <v>49</v>
      </c>
      <c r="H465" s="390" t="s">
        <v>49</v>
      </c>
      <c r="I465" s="390" t="s">
        <v>49</v>
      </c>
      <c r="J465" s="390" t="s">
        <v>49</v>
      </c>
      <c r="K465" s="390" t="s">
        <v>49</v>
      </c>
      <c r="L465" s="400" t="s">
        <v>1586</v>
      </c>
      <c r="M465" s="401" t="s">
        <v>1587</v>
      </c>
      <c r="N465" s="402">
        <v>20500000</v>
      </c>
      <c r="O465" s="402"/>
      <c r="P465" s="397"/>
      <c r="Q465" s="403"/>
    </row>
    <row r="466" spans="1:17" s="394" customFormat="1" ht="69.75" customHeight="1" x14ac:dyDescent="0.25">
      <c r="A466" s="385">
        <v>2</v>
      </c>
      <c r="B466" s="404" t="s">
        <v>1248</v>
      </c>
      <c r="C466" s="395" t="s">
        <v>1442</v>
      </c>
      <c r="D466" s="401" t="s">
        <v>1588</v>
      </c>
      <c r="E466" s="399" t="s">
        <v>1589</v>
      </c>
      <c r="F466" s="399" t="s">
        <v>1573</v>
      </c>
      <c r="G466" s="390" t="s">
        <v>49</v>
      </c>
      <c r="H466" s="390" t="s">
        <v>49</v>
      </c>
      <c r="I466" s="390" t="s">
        <v>49</v>
      </c>
      <c r="J466" s="390" t="s">
        <v>49</v>
      </c>
      <c r="K466" s="390" t="s">
        <v>49</v>
      </c>
      <c r="L466" s="396" t="s">
        <v>1590</v>
      </c>
      <c r="M466" s="401" t="s">
        <v>1591</v>
      </c>
      <c r="N466" s="402">
        <v>20000000</v>
      </c>
      <c r="O466" s="402"/>
      <c r="P466" s="397"/>
      <c r="Q466" s="403"/>
    </row>
    <row r="467" spans="1:17" s="394" customFormat="1" ht="61.9" customHeight="1" x14ac:dyDescent="0.25">
      <c r="A467" s="385">
        <f t="shared" si="0"/>
        <v>3</v>
      </c>
      <c r="B467" s="405" t="s">
        <v>1003</v>
      </c>
      <c r="C467" s="395" t="s">
        <v>1004</v>
      </c>
      <c r="D467" s="399" t="s">
        <v>1592</v>
      </c>
      <c r="E467" s="399" t="s">
        <v>1593</v>
      </c>
      <c r="F467" s="399" t="s">
        <v>1573</v>
      </c>
      <c r="G467" s="390" t="s">
        <v>49</v>
      </c>
      <c r="H467" s="390" t="s">
        <v>49</v>
      </c>
      <c r="I467" s="390" t="s">
        <v>49</v>
      </c>
      <c r="J467" s="390" t="s">
        <v>49</v>
      </c>
      <c r="K467" s="390" t="s">
        <v>49</v>
      </c>
      <c r="L467" s="400" t="s">
        <v>1594</v>
      </c>
      <c r="M467" s="399" t="s">
        <v>1595</v>
      </c>
      <c r="N467" s="406">
        <v>19050000</v>
      </c>
      <c r="O467" s="406"/>
      <c r="P467" s="406"/>
      <c r="Q467" s="403"/>
    </row>
    <row r="468" spans="1:17" s="394" customFormat="1" ht="50.25" customHeight="1" x14ac:dyDescent="0.25">
      <c r="A468" s="385">
        <f t="shared" si="0"/>
        <v>4</v>
      </c>
      <c r="B468" s="405" t="s">
        <v>912</v>
      </c>
      <c r="C468" s="407" t="s">
        <v>1596</v>
      </c>
      <c r="D468" s="389" t="s">
        <v>1597</v>
      </c>
      <c r="E468" s="388" t="s">
        <v>1598</v>
      </c>
      <c r="F468" s="388" t="s">
        <v>910</v>
      </c>
      <c r="G468" s="390" t="s">
        <v>49</v>
      </c>
      <c r="H468" s="390" t="s">
        <v>49</v>
      </c>
      <c r="I468" s="390" t="s">
        <v>49</v>
      </c>
      <c r="J468" s="390" t="s">
        <v>49</v>
      </c>
      <c r="K468" s="390" t="s">
        <v>49</v>
      </c>
      <c r="L468" s="391" t="s">
        <v>16</v>
      </c>
      <c r="M468" s="389" t="s">
        <v>239</v>
      </c>
      <c r="N468" s="402">
        <v>17550000</v>
      </c>
      <c r="O468" s="392"/>
      <c r="P468" s="392"/>
      <c r="Q468" s="398"/>
    </row>
    <row r="469" spans="1:17" s="394" customFormat="1" ht="46.5" customHeight="1" x14ac:dyDescent="0.25">
      <c r="A469" s="385">
        <v>3</v>
      </c>
      <c r="B469" s="385" t="s">
        <v>1503</v>
      </c>
      <c r="C469" s="395" t="s">
        <v>409</v>
      </c>
      <c r="D469" s="388" t="s">
        <v>1599</v>
      </c>
      <c r="E469" s="389" t="s">
        <v>1600</v>
      </c>
      <c r="F469" s="389" t="s">
        <v>152</v>
      </c>
      <c r="G469" s="385" t="s">
        <v>49</v>
      </c>
      <c r="H469" s="385" t="s">
        <v>49</v>
      </c>
      <c r="I469" s="385" t="s">
        <v>49</v>
      </c>
      <c r="J469" s="385" t="s">
        <v>49</v>
      </c>
      <c r="K469" s="385" t="s">
        <v>49</v>
      </c>
      <c r="L469" s="408" t="s">
        <v>1601</v>
      </c>
      <c r="M469" s="389" t="s">
        <v>1602</v>
      </c>
      <c r="N469" s="392">
        <v>35000000</v>
      </c>
      <c r="O469" s="392"/>
      <c r="P469" s="392"/>
      <c r="Q469" s="393"/>
    </row>
    <row r="470" spans="1:17" s="394" customFormat="1" ht="46.15" customHeight="1" x14ac:dyDescent="0.25">
      <c r="A470" s="385">
        <f t="shared" si="0"/>
        <v>4</v>
      </c>
      <c r="B470" s="409" t="s">
        <v>1306</v>
      </c>
      <c r="C470" s="395" t="s">
        <v>560</v>
      </c>
      <c r="D470" s="399" t="s">
        <v>1603</v>
      </c>
      <c r="E470" s="401" t="s">
        <v>1510</v>
      </c>
      <c r="F470" s="401" t="s">
        <v>152</v>
      </c>
      <c r="G470" s="409" t="s">
        <v>49</v>
      </c>
      <c r="H470" s="409" t="s">
        <v>49</v>
      </c>
      <c r="I470" s="409" t="s">
        <v>49</v>
      </c>
      <c r="J470" s="409" t="s">
        <v>49</v>
      </c>
      <c r="K470" s="409" t="s">
        <v>49</v>
      </c>
      <c r="L470" s="410" t="s">
        <v>1604</v>
      </c>
      <c r="M470" s="401" t="s">
        <v>1605</v>
      </c>
      <c r="N470" s="402">
        <f>600000*5</f>
        <v>3000000</v>
      </c>
      <c r="O470" s="402"/>
      <c r="P470" s="402"/>
      <c r="Q470" s="411"/>
    </row>
    <row r="471" spans="1:17" s="413" customFormat="1" ht="30.75" customHeight="1" x14ac:dyDescent="0.2">
      <c r="A471" s="385">
        <f t="shared" si="0"/>
        <v>5</v>
      </c>
      <c r="B471" s="409" t="s">
        <v>1306</v>
      </c>
      <c r="C471" s="412" t="s">
        <v>560</v>
      </c>
      <c r="D471" s="399" t="s">
        <v>1606</v>
      </c>
      <c r="E471" s="401" t="s">
        <v>1510</v>
      </c>
      <c r="F471" s="401" t="s">
        <v>152</v>
      </c>
      <c r="G471" s="409" t="s">
        <v>49</v>
      </c>
      <c r="H471" s="409" t="s">
        <v>49</v>
      </c>
      <c r="I471" s="409" t="s">
        <v>49</v>
      </c>
      <c r="J471" s="409" t="s">
        <v>49</v>
      </c>
      <c r="K471" s="409" t="s">
        <v>49</v>
      </c>
      <c r="L471" s="410" t="s">
        <v>1604</v>
      </c>
      <c r="M471" s="401" t="s">
        <v>1605</v>
      </c>
      <c r="N471" s="402">
        <v>17500000</v>
      </c>
      <c r="O471" s="402"/>
      <c r="P471" s="402"/>
      <c r="Q471" s="411"/>
    </row>
    <row r="472" spans="1:17" s="394" customFormat="1" ht="59.25" customHeight="1" x14ac:dyDescent="0.25">
      <c r="A472" s="385">
        <v>4</v>
      </c>
      <c r="B472" s="385" t="s">
        <v>1115</v>
      </c>
      <c r="C472" s="395" t="s">
        <v>1579</v>
      </c>
      <c r="D472" s="389" t="s">
        <v>1607</v>
      </c>
      <c r="E472" s="388" t="s">
        <v>1608</v>
      </c>
      <c r="F472" s="388" t="s">
        <v>152</v>
      </c>
      <c r="G472" s="390" t="s">
        <v>49</v>
      </c>
      <c r="H472" s="390" t="s">
        <v>49</v>
      </c>
      <c r="I472" s="390" t="s">
        <v>49</v>
      </c>
      <c r="J472" s="390" t="s">
        <v>49</v>
      </c>
      <c r="K472" s="390" t="s">
        <v>49</v>
      </c>
      <c r="L472" s="396" t="s">
        <v>1609</v>
      </c>
      <c r="M472" s="389" t="s">
        <v>514</v>
      </c>
      <c r="N472" s="392">
        <v>9000000</v>
      </c>
      <c r="O472" s="397"/>
      <c r="P472" s="392"/>
      <c r="Q472" s="398"/>
    </row>
    <row r="473" spans="1:17" s="394" customFormat="1" ht="30" x14ac:dyDescent="0.25">
      <c r="A473" s="385">
        <f t="shared" si="0"/>
        <v>5</v>
      </c>
      <c r="B473" s="385" t="s">
        <v>1610</v>
      </c>
      <c r="C473" s="387" t="s">
        <v>1611</v>
      </c>
      <c r="D473" s="388" t="s">
        <v>1612</v>
      </c>
      <c r="E473" s="388" t="s">
        <v>1613</v>
      </c>
      <c r="F473" s="388" t="s">
        <v>513</v>
      </c>
      <c r="G473" s="390" t="s">
        <v>49</v>
      </c>
      <c r="H473" s="390" t="s">
        <v>49</v>
      </c>
      <c r="I473" s="390" t="s">
        <v>49</v>
      </c>
      <c r="J473" s="390" t="s">
        <v>49</v>
      </c>
      <c r="K473" s="390" t="s">
        <v>49</v>
      </c>
      <c r="L473" s="396" t="s">
        <v>1614</v>
      </c>
      <c r="M473" s="389" t="s">
        <v>514</v>
      </c>
      <c r="N473" s="392">
        <v>7830000</v>
      </c>
      <c r="O473" s="397"/>
      <c r="P473" s="392"/>
      <c r="Q473" s="398"/>
    </row>
    <row r="474" spans="1:17" s="394" customFormat="1" ht="66.75" customHeight="1" x14ac:dyDescent="0.25">
      <c r="A474" s="385">
        <f t="shared" si="0"/>
        <v>6</v>
      </c>
      <c r="B474" s="385" t="s">
        <v>816</v>
      </c>
      <c r="C474" s="395" t="s">
        <v>1425</v>
      </c>
      <c r="D474" s="388" t="s">
        <v>1426</v>
      </c>
      <c r="E474" s="388" t="s">
        <v>1620</v>
      </c>
      <c r="F474" s="389" t="s">
        <v>152</v>
      </c>
      <c r="G474" s="390" t="s">
        <v>49</v>
      </c>
      <c r="H474" s="390" t="s">
        <v>49</v>
      </c>
      <c r="I474" s="390" t="s">
        <v>49</v>
      </c>
      <c r="J474" s="390" t="s">
        <v>49</v>
      </c>
      <c r="K474" s="390" t="s">
        <v>49</v>
      </c>
      <c r="L474" s="391" t="s">
        <v>1427</v>
      </c>
      <c r="M474" s="389" t="s">
        <v>806</v>
      </c>
      <c r="N474" s="397"/>
      <c r="O474" s="392"/>
      <c r="P474" s="392">
        <v>25000000</v>
      </c>
      <c r="Q474" s="414" t="s">
        <v>1432</v>
      </c>
    </row>
    <row r="475" spans="1:17" s="394" customFormat="1" ht="45" customHeight="1" x14ac:dyDescent="0.25">
      <c r="A475" s="385">
        <v>5</v>
      </c>
      <c r="B475" s="385" t="s">
        <v>816</v>
      </c>
      <c r="C475" s="395" t="s">
        <v>1425</v>
      </c>
      <c r="D475" s="388" t="s">
        <v>1429</v>
      </c>
      <c r="E475" s="388" t="s">
        <v>1430</v>
      </c>
      <c r="F475" s="389" t="s">
        <v>152</v>
      </c>
      <c r="G475" s="390" t="s">
        <v>49</v>
      </c>
      <c r="H475" s="390" t="s">
        <v>49</v>
      </c>
      <c r="I475" s="390" t="s">
        <v>49</v>
      </c>
      <c r="J475" s="390" t="s">
        <v>49</v>
      </c>
      <c r="K475" s="390" t="s">
        <v>49</v>
      </c>
      <c r="L475" s="391" t="s">
        <v>1431</v>
      </c>
      <c r="M475" s="389" t="s">
        <v>806</v>
      </c>
      <c r="N475" s="392"/>
      <c r="O475" s="392"/>
      <c r="P475" s="392">
        <v>25000000</v>
      </c>
      <c r="Q475" s="414" t="s">
        <v>1432</v>
      </c>
    </row>
    <row r="476" spans="1:17" s="394" customFormat="1" ht="48" customHeight="1" x14ac:dyDescent="0.25">
      <c r="A476" s="385">
        <f t="shared" si="0"/>
        <v>6</v>
      </c>
      <c r="B476" s="385" t="s">
        <v>816</v>
      </c>
      <c r="C476" s="395" t="s">
        <v>1425</v>
      </c>
      <c r="D476" s="388" t="s">
        <v>1433</v>
      </c>
      <c r="E476" s="388" t="s">
        <v>1430</v>
      </c>
      <c r="F476" s="389" t="s">
        <v>152</v>
      </c>
      <c r="G476" s="390" t="s">
        <v>49</v>
      </c>
      <c r="H476" s="390" t="s">
        <v>49</v>
      </c>
      <c r="I476" s="390" t="s">
        <v>49</v>
      </c>
      <c r="J476" s="390" t="s">
        <v>49</v>
      </c>
      <c r="K476" s="390" t="s">
        <v>49</v>
      </c>
      <c r="L476" s="391" t="s">
        <v>1427</v>
      </c>
      <c r="M476" s="389" t="s">
        <v>1434</v>
      </c>
      <c r="N476" s="397"/>
      <c r="O476" s="392"/>
      <c r="P476" s="392">
        <v>15000000</v>
      </c>
      <c r="Q476" s="414" t="s">
        <v>1432</v>
      </c>
    </row>
    <row r="477" spans="1:17" s="394" customFormat="1" ht="38.25" customHeight="1" x14ac:dyDescent="0.25">
      <c r="A477" s="385">
        <f t="shared" si="0"/>
        <v>7</v>
      </c>
      <c r="B477" s="415" t="s">
        <v>842</v>
      </c>
      <c r="C477" s="395" t="s">
        <v>843</v>
      </c>
      <c r="D477" s="416" t="s">
        <v>1435</v>
      </c>
      <c r="E477" s="417" t="s">
        <v>1436</v>
      </c>
      <c r="F477" s="388" t="s">
        <v>1367</v>
      </c>
      <c r="G477" s="415" t="s">
        <v>49</v>
      </c>
      <c r="H477" s="415"/>
      <c r="I477" s="415" t="s">
        <v>49</v>
      </c>
      <c r="J477" s="415" t="s">
        <v>49</v>
      </c>
      <c r="K477" s="415" t="s">
        <v>49</v>
      </c>
      <c r="L477" s="416" t="s">
        <v>16</v>
      </c>
      <c r="M477" s="417" t="s">
        <v>1437</v>
      </c>
      <c r="N477" s="392"/>
      <c r="O477" s="392"/>
      <c r="P477" s="402">
        <v>200000000</v>
      </c>
      <c r="Q477" s="418" t="s">
        <v>1432</v>
      </c>
    </row>
    <row r="478" spans="1:17" s="394" customFormat="1" ht="49.5" customHeight="1" x14ac:dyDescent="0.25">
      <c r="A478" s="385">
        <v>6</v>
      </c>
      <c r="B478" s="385" t="s">
        <v>1438</v>
      </c>
      <c r="C478" s="395" t="s">
        <v>386</v>
      </c>
      <c r="D478" s="389" t="s">
        <v>1439</v>
      </c>
      <c r="E478" s="388" t="s">
        <v>1430</v>
      </c>
      <c r="F478" s="389" t="s">
        <v>152</v>
      </c>
      <c r="G478" s="390" t="s">
        <v>49</v>
      </c>
      <c r="H478" s="390" t="s">
        <v>49</v>
      </c>
      <c r="I478" s="390" t="s">
        <v>49</v>
      </c>
      <c r="J478" s="390" t="s">
        <v>49</v>
      </c>
      <c r="K478" s="390" t="s">
        <v>49</v>
      </c>
      <c r="L478" s="391" t="s">
        <v>1440</v>
      </c>
      <c r="M478" s="389" t="s">
        <v>1205</v>
      </c>
      <c r="N478" s="392"/>
      <c r="O478" s="392"/>
      <c r="P478" s="392">
        <v>10000000</v>
      </c>
      <c r="Q478" s="414" t="s">
        <v>1617</v>
      </c>
    </row>
    <row r="479" spans="1:17" s="394" customFormat="1" ht="71.25" customHeight="1" x14ac:dyDescent="0.25">
      <c r="A479" s="385">
        <f t="shared" si="0"/>
        <v>7</v>
      </c>
      <c r="B479" s="385" t="s">
        <v>1248</v>
      </c>
      <c r="C479" s="395" t="s">
        <v>1442</v>
      </c>
      <c r="D479" s="399" t="s">
        <v>1443</v>
      </c>
      <c r="E479" s="389" t="s">
        <v>1444</v>
      </c>
      <c r="F479" s="389" t="s">
        <v>595</v>
      </c>
      <c r="G479" s="419" t="s">
        <v>49</v>
      </c>
      <c r="H479" s="419" t="s">
        <v>49</v>
      </c>
      <c r="I479" s="419" t="s">
        <v>49</v>
      </c>
      <c r="J479" s="419" t="s">
        <v>49</v>
      </c>
      <c r="K479" s="419" t="s">
        <v>49</v>
      </c>
      <c r="L479" s="391" t="s">
        <v>1445</v>
      </c>
      <c r="M479" s="389" t="s">
        <v>292</v>
      </c>
      <c r="N479" s="397"/>
      <c r="O479" s="392"/>
      <c r="P479" s="392">
        <v>15000000</v>
      </c>
      <c r="Q479" s="414" t="s">
        <v>1446</v>
      </c>
    </row>
    <row r="480" spans="1:17" s="394" customFormat="1" ht="40.5" customHeight="1" x14ac:dyDescent="0.25">
      <c r="A480" s="385">
        <f t="shared" si="0"/>
        <v>8</v>
      </c>
      <c r="B480" s="405" t="s">
        <v>795</v>
      </c>
      <c r="C480" s="395" t="s">
        <v>1447</v>
      </c>
      <c r="D480" s="391" t="s">
        <v>1448</v>
      </c>
      <c r="E480" s="388" t="s">
        <v>1430</v>
      </c>
      <c r="F480" s="389" t="s">
        <v>152</v>
      </c>
      <c r="G480" s="390" t="s">
        <v>49</v>
      </c>
      <c r="H480" s="390" t="s">
        <v>49</v>
      </c>
      <c r="I480" s="390" t="s">
        <v>49</v>
      </c>
      <c r="J480" s="390" t="s">
        <v>49</v>
      </c>
      <c r="K480" s="390" t="s">
        <v>49</v>
      </c>
      <c r="L480" s="391" t="s">
        <v>1449</v>
      </c>
      <c r="M480" s="389" t="s">
        <v>806</v>
      </c>
      <c r="N480" s="392"/>
      <c r="O480" s="392"/>
      <c r="P480" s="392">
        <v>20000000</v>
      </c>
      <c r="Q480" s="414" t="s">
        <v>1450</v>
      </c>
    </row>
    <row r="481" spans="1:17" s="394" customFormat="1" ht="63" customHeight="1" x14ac:dyDescent="0.25">
      <c r="A481" s="385">
        <v>7</v>
      </c>
      <c r="B481" s="385" t="s">
        <v>900</v>
      </c>
      <c r="C481" s="395" t="s">
        <v>1451</v>
      </c>
      <c r="D481" s="389" t="s">
        <v>1452</v>
      </c>
      <c r="E481" s="388" t="s">
        <v>1453</v>
      </c>
      <c r="F481" s="388" t="s">
        <v>1367</v>
      </c>
      <c r="G481" s="385" t="s">
        <v>49</v>
      </c>
      <c r="H481" s="385"/>
      <c r="I481" s="385" t="s">
        <v>49</v>
      </c>
      <c r="J481" s="385" t="s">
        <v>49</v>
      </c>
      <c r="K481" s="385"/>
      <c r="L481" s="391" t="s">
        <v>1454</v>
      </c>
      <c r="M481" s="389" t="s">
        <v>239</v>
      </c>
      <c r="N481" s="417"/>
      <c r="O481" s="392"/>
      <c r="P481" s="392">
        <v>20000000</v>
      </c>
      <c r="Q481" s="414" t="s">
        <v>1455</v>
      </c>
    </row>
    <row r="482" spans="1:17" s="394" customFormat="1" ht="60" x14ac:dyDescent="0.25">
      <c r="A482" s="385">
        <f t="shared" si="0"/>
        <v>8</v>
      </c>
      <c r="B482" s="385" t="s">
        <v>1456</v>
      </c>
      <c r="C482" s="395" t="s">
        <v>1457</v>
      </c>
      <c r="D482" s="388" t="s">
        <v>1458</v>
      </c>
      <c r="E482" s="388" t="s">
        <v>1459</v>
      </c>
      <c r="F482" s="389" t="s">
        <v>152</v>
      </c>
      <c r="G482" s="385" t="s">
        <v>49</v>
      </c>
      <c r="H482" s="385" t="s">
        <v>49</v>
      </c>
      <c r="I482" s="385" t="s">
        <v>49</v>
      </c>
      <c r="J482" s="385" t="s">
        <v>49</v>
      </c>
      <c r="K482" s="385" t="s">
        <v>49</v>
      </c>
      <c r="L482" s="391" t="s">
        <v>1460</v>
      </c>
      <c r="M482" s="389" t="s">
        <v>292</v>
      </c>
      <c r="N482" s="420"/>
      <c r="O482" s="420"/>
      <c r="P482" s="420">
        <v>5000000</v>
      </c>
      <c r="Q482" s="414" t="s">
        <v>1461</v>
      </c>
    </row>
    <row r="483" spans="1:17" s="394" customFormat="1" ht="55.5" customHeight="1" x14ac:dyDescent="0.25">
      <c r="A483" s="385">
        <f t="shared" si="0"/>
        <v>9</v>
      </c>
      <c r="B483" s="385" t="s">
        <v>900</v>
      </c>
      <c r="C483" s="395" t="s">
        <v>1451</v>
      </c>
      <c r="D483" s="389" t="s">
        <v>1462</v>
      </c>
      <c r="E483" s="388" t="s">
        <v>1463</v>
      </c>
      <c r="F483" s="388" t="s">
        <v>1367</v>
      </c>
      <c r="G483" s="390" t="s">
        <v>49</v>
      </c>
      <c r="H483" s="390" t="s">
        <v>49</v>
      </c>
      <c r="I483" s="390" t="s">
        <v>49</v>
      </c>
      <c r="J483" s="390" t="s">
        <v>49</v>
      </c>
      <c r="K483" s="390" t="s">
        <v>49</v>
      </c>
      <c r="L483" s="391" t="s">
        <v>1464</v>
      </c>
      <c r="M483" s="389" t="s">
        <v>1465</v>
      </c>
      <c r="N483" s="392"/>
      <c r="O483" s="392"/>
      <c r="P483" s="392">
        <v>15000000</v>
      </c>
      <c r="Q483" s="414" t="s">
        <v>1466</v>
      </c>
    </row>
    <row r="484" spans="1:17" s="394" customFormat="1" ht="60" x14ac:dyDescent="0.25">
      <c r="A484" s="385">
        <v>8</v>
      </c>
      <c r="B484" s="385" t="s">
        <v>900</v>
      </c>
      <c r="C484" s="395" t="s">
        <v>1451</v>
      </c>
      <c r="D484" s="389" t="s">
        <v>1467</v>
      </c>
      <c r="E484" s="388" t="s">
        <v>1468</v>
      </c>
      <c r="F484" s="388" t="s">
        <v>1367</v>
      </c>
      <c r="G484" s="390" t="s">
        <v>49</v>
      </c>
      <c r="H484" s="390" t="s">
        <v>49</v>
      </c>
      <c r="I484" s="390" t="s">
        <v>49</v>
      </c>
      <c r="J484" s="390" t="s">
        <v>49</v>
      </c>
      <c r="K484" s="390" t="s">
        <v>49</v>
      </c>
      <c r="L484" s="391" t="s">
        <v>1464</v>
      </c>
      <c r="M484" s="389" t="s">
        <v>1469</v>
      </c>
      <c r="N484" s="392"/>
      <c r="O484" s="392"/>
      <c r="P484" s="392">
        <v>60000000</v>
      </c>
      <c r="Q484" s="414" t="s">
        <v>1466</v>
      </c>
    </row>
    <row r="485" spans="1:17" s="394" customFormat="1" ht="52.5" customHeight="1" x14ac:dyDescent="0.25">
      <c r="A485" s="385">
        <f t="shared" si="0"/>
        <v>9</v>
      </c>
      <c r="B485" s="385" t="s">
        <v>793</v>
      </c>
      <c r="C485" s="395" t="s">
        <v>1470</v>
      </c>
      <c r="D485" s="388" t="s">
        <v>1471</v>
      </c>
      <c r="E485" s="388" t="s">
        <v>1453</v>
      </c>
      <c r="F485" s="388" t="s">
        <v>1367</v>
      </c>
      <c r="G485" s="385" t="s">
        <v>49</v>
      </c>
      <c r="H485" s="385" t="s">
        <v>49</v>
      </c>
      <c r="I485" s="385" t="s">
        <v>49</v>
      </c>
      <c r="J485" s="385" t="s">
        <v>49</v>
      </c>
      <c r="K485" s="385"/>
      <c r="L485" s="391" t="s">
        <v>1431</v>
      </c>
      <c r="M485" s="389" t="s">
        <v>239</v>
      </c>
      <c r="N485" s="417"/>
      <c r="O485" s="392"/>
      <c r="P485" s="392">
        <v>20000000</v>
      </c>
      <c r="Q485" s="414" t="s">
        <v>1472</v>
      </c>
    </row>
    <row r="486" spans="1:17" s="394" customFormat="1" ht="39" customHeight="1" x14ac:dyDescent="0.25">
      <c r="A486" s="385">
        <f t="shared" si="0"/>
        <v>10</v>
      </c>
      <c r="B486" s="421">
        <v>0.79722222222222217</v>
      </c>
      <c r="C486" s="395" t="s">
        <v>1473</v>
      </c>
      <c r="D486" s="388" t="s">
        <v>1474</v>
      </c>
      <c r="E486" s="388" t="s">
        <v>1453</v>
      </c>
      <c r="F486" s="388" t="s">
        <v>1367</v>
      </c>
      <c r="G486" s="385" t="s">
        <v>49</v>
      </c>
      <c r="H486" s="385"/>
      <c r="I486" s="385" t="s">
        <v>49</v>
      </c>
      <c r="J486" s="385" t="s">
        <v>49</v>
      </c>
      <c r="K486" s="385"/>
      <c r="L486" s="391" t="s">
        <v>1431</v>
      </c>
      <c r="M486" s="389" t="s">
        <v>239</v>
      </c>
      <c r="N486" s="417"/>
      <c r="O486" s="392"/>
      <c r="P486" s="392">
        <v>20000000</v>
      </c>
      <c r="Q486" s="414" t="s">
        <v>1472</v>
      </c>
    </row>
    <row r="487" spans="1:17" s="394" customFormat="1" ht="39" customHeight="1" x14ac:dyDescent="0.25">
      <c r="A487" s="385">
        <v>9</v>
      </c>
      <c r="B487" s="385" t="s">
        <v>825</v>
      </c>
      <c r="C487" s="395" t="s">
        <v>826</v>
      </c>
      <c r="D487" s="388" t="s">
        <v>1475</v>
      </c>
      <c r="E487" s="388" t="s">
        <v>1476</v>
      </c>
      <c r="F487" s="388" t="s">
        <v>1477</v>
      </c>
      <c r="G487" s="389"/>
      <c r="H487" s="389"/>
      <c r="I487" s="385" t="s">
        <v>49</v>
      </c>
      <c r="J487" s="389"/>
      <c r="K487" s="389"/>
      <c r="L487" s="391" t="s">
        <v>1478</v>
      </c>
      <c r="M487" s="389" t="s">
        <v>231</v>
      </c>
      <c r="N487" s="392"/>
      <c r="O487" s="392"/>
      <c r="P487" s="420">
        <v>40000000</v>
      </c>
      <c r="Q487" s="398" t="s">
        <v>277</v>
      </c>
    </row>
    <row r="488" spans="1:17" s="394" customFormat="1" ht="51" customHeight="1" x14ac:dyDescent="0.25">
      <c r="A488" s="385">
        <f t="shared" si="0"/>
        <v>10</v>
      </c>
      <c r="B488" s="405" t="s">
        <v>1069</v>
      </c>
      <c r="C488" s="395" t="s">
        <v>1479</v>
      </c>
      <c r="D488" s="388" t="s">
        <v>1480</v>
      </c>
      <c r="E488" s="388" t="s">
        <v>1481</v>
      </c>
      <c r="F488" s="388" t="s">
        <v>1482</v>
      </c>
      <c r="G488" s="385" t="s">
        <v>49</v>
      </c>
      <c r="H488" s="385" t="s">
        <v>49</v>
      </c>
      <c r="I488" s="385" t="s">
        <v>49</v>
      </c>
      <c r="J488" s="385" t="s">
        <v>49</v>
      </c>
      <c r="K488" s="385" t="s">
        <v>49</v>
      </c>
      <c r="L488" s="391" t="s">
        <v>1483</v>
      </c>
      <c r="M488" s="389" t="s">
        <v>1484</v>
      </c>
      <c r="N488" s="422"/>
      <c r="O488" s="392"/>
      <c r="P488" s="417">
        <v>2000000</v>
      </c>
      <c r="Q488" s="393" t="s">
        <v>200</v>
      </c>
    </row>
    <row r="489" spans="1:17" s="394" customFormat="1" ht="48" customHeight="1" x14ac:dyDescent="0.25">
      <c r="A489" s="385">
        <f t="shared" si="0"/>
        <v>11</v>
      </c>
      <c r="B489" s="385" t="s">
        <v>1053</v>
      </c>
      <c r="C489" s="395" t="s">
        <v>1485</v>
      </c>
      <c r="D489" s="400" t="s">
        <v>1055</v>
      </c>
      <c r="E489" s="399" t="s">
        <v>1486</v>
      </c>
      <c r="F489" s="399" t="s">
        <v>1487</v>
      </c>
      <c r="G489" s="390" t="s">
        <v>49</v>
      </c>
      <c r="H489" s="390" t="s">
        <v>49</v>
      </c>
      <c r="I489" s="390" t="s">
        <v>49</v>
      </c>
      <c r="J489" s="390" t="s">
        <v>49</v>
      </c>
      <c r="K489" s="390" t="s">
        <v>49</v>
      </c>
      <c r="L489" s="396" t="s">
        <v>1488</v>
      </c>
      <c r="M489" s="399" t="s">
        <v>1489</v>
      </c>
      <c r="N489" s="422"/>
      <c r="O489" s="423"/>
      <c r="P489" s="423">
        <v>10000000</v>
      </c>
      <c r="Q489" s="393" t="s">
        <v>200</v>
      </c>
    </row>
    <row r="490" spans="1:17" s="394" customFormat="1" ht="35.25" customHeight="1" x14ac:dyDescent="0.25">
      <c r="A490" s="385">
        <v>10</v>
      </c>
      <c r="B490" s="385" t="s">
        <v>1038</v>
      </c>
      <c r="C490" s="412" t="s">
        <v>1490</v>
      </c>
      <c r="D490" s="399" t="s">
        <v>1491</v>
      </c>
      <c r="E490" s="388" t="s">
        <v>1492</v>
      </c>
      <c r="F490" s="389" t="s">
        <v>152</v>
      </c>
      <c r="G490" s="385" t="s">
        <v>49</v>
      </c>
      <c r="H490" s="385" t="s">
        <v>49</v>
      </c>
      <c r="I490" s="385" t="s">
        <v>49</v>
      </c>
      <c r="J490" s="385" t="s">
        <v>49</v>
      </c>
      <c r="K490" s="385" t="s">
        <v>49</v>
      </c>
      <c r="L490" s="391" t="s">
        <v>1427</v>
      </c>
      <c r="M490" s="389" t="s">
        <v>917</v>
      </c>
      <c r="N490" s="392"/>
      <c r="O490" s="392"/>
      <c r="P490" s="392">
        <v>2000000000</v>
      </c>
      <c r="Q490" s="393" t="s">
        <v>200</v>
      </c>
    </row>
    <row r="491" spans="1:17" s="394" customFormat="1" ht="45" customHeight="1" x14ac:dyDescent="0.25">
      <c r="A491" s="385">
        <f t="shared" si="0"/>
        <v>11</v>
      </c>
      <c r="B491" s="385" t="s">
        <v>1038</v>
      </c>
      <c r="C491" s="395" t="s">
        <v>1490</v>
      </c>
      <c r="D491" s="399" t="s">
        <v>1491</v>
      </c>
      <c r="E491" s="388" t="s">
        <v>1492</v>
      </c>
      <c r="F491" s="389" t="s">
        <v>152</v>
      </c>
      <c r="G491" s="385" t="s">
        <v>49</v>
      </c>
      <c r="H491" s="385" t="s">
        <v>49</v>
      </c>
      <c r="I491" s="385" t="s">
        <v>49</v>
      </c>
      <c r="J491" s="385" t="s">
        <v>49</v>
      </c>
      <c r="K491" s="385" t="s">
        <v>49</v>
      </c>
      <c r="L491" s="391" t="s">
        <v>1493</v>
      </c>
      <c r="M491" s="389" t="s">
        <v>1494</v>
      </c>
      <c r="N491" s="392"/>
      <c r="O491" s="392"/>
      <c r="P491" s="392">
        <v>1000000000</v>
      </c>
      <c r="Q491" s="393" t="s">
        <v>200</v>
      </c>
    </row>
    <row r="492" spans="1:17" s="394" customFormat="1" ht="39.75" customHeight="1" x14ac:dyDescent="0.25">
      <c r="A492" s="385">
        <f t="shared" si="0"/>
        <v>12</v>
      </c>
      <c r="B492" s="385" t="s">
        <v>842</v>
      </c>
      <c r="C492" s="395" t="s">
        <v>843</v>
      </c>
      <c r="D492" s="388" t="s">
        <v>1495</v>
      </c>
      <c r="E492" s="389" t="s">
        <v>1496</v>
      </c>
      <c r="F492" s="389" t="s">
        <v>152</v>
      </c>
      <c r="G492" s="390" t="s">
        <v>49</v>
      </c>
      <c r="H492" s="390" t="s">
        <v>49</v>
      </c>
      <c r="I492" s="390" t="s">
        <v>49</v>
      </c>
      <c r="J492" s="390" t="s">
        <v>49</v>
      </c>
      <c r="K492" s="390" t="s">
        <v>49</v>
      </c>
      <c r="L492" s="391" t="s">
        <v>1497</v>
      </c>
      <c r="M492" s="389" t="s">
        <v>292</v>
      </c>
      <c r="N492" s="397"/>
      <c r="O492" s="392"/>
      <c r="P492" s="392">
        <v>50000000</v>
      </c>
      <c r="Q492" s="393" t="s">
        <v>200</v>
      </c>
    </row>
    <row r="493" spans="1:17" s="394" customFormat="1" ht="33.75" customHeight="1" x14ac:dyDescent="0.25">
      <c r="A493" s="385">
        <v>11</v>
      </c>
      <c r="B493" s="385" t="s">
        <v>1498</v>
      </c>
      <c r="C493" s="395" t="s">
        <v>1499</v>
      </c>
      <c r="D493" s="389" t="s">
        <v>1500</v>
      </c>
      <c r="E493" s="389" t="s">
        <v>1501</v>
      </c>
      <c r="F493" s="389" t="s">
        <v>1261</v>
      </c>
      <c r="G493" s="390" t="s">
        <v>49</v>
      </c>
      <c r="H493" s="390" t="s">
        <v>49</v>
      </c>
      <c r="I493" s="390" t="s">
        <v>49</v>
      </c>
      <c r="J493" s="390" t="s">
        <v>49</v>
      </c>
      <c r="K493" s="390" t="s">
        <v>49</v>
      </c>
      <c r="L493" s="391" t="s">
        <v>1502</v>
      </c>
      <c r="M493" s="389" t="s">
        <v>1305</v>
      </c>
      <c r="N493" s="392"/>
      <c r="O493" s="392"/>
      <c r="P493" s="420">
        <v>220000000</v>
      </c>
      <c r="Q493" s="393" t="s">
        <v>200</v>
      </c>
    </row>
    <row r="494" spans="1:17" s="394" customFormat="1" ht="47.25" customHeight="1" x14ac:dyDescent="0.25">
      <c r="A494" s="385">
        <f t="shared" si="0"/>
        <v>12</v>
      </c>
      <c r="B494" s="385" t="s">
        <v>1503</v>
      </c>
      <c r="C494" s="424" t="s">
        <v>409</v>
      </c>
      <c r="D494" s="425" t="s">
        <v>1504</v>
      </c>
      <c r="E494" s="426" t="s">
        <v>1505</v>
      </c>
      <c r="F494" s="388" t="s">
        <v>1506</v>
      </c>
      <c r="G494" s="390" t="s">
        <v>49</v>
      </c>
      <c r="H494" s="390" t="s">
        <v>49</v>
      </c>
      <c r="I494" s="390" t="s">
        <v>49</v>
      </c>
      <c r="J494" s="390" t="s">
        <v>49</v>
      </c>
      <c r="K494" s="390" t="s">
        <v>49</v>
      </c>
      <c r="L494" s="391" t="s">
        <v>1507</v>
      </c>
      <c r="M494" s="389" t="s">
        <v>1508</v>
      </c>
      <c r="N494" s="427"/>
      <c r="O494" s="392"/>
      <c r="P494" s="392">
        <v>25000000</v>
      </c>
      <c r="Q494" s="393" t="s">
        <v>200</v>
      </c>
    </row>
    <row r="495" spans="1:17" s="394" customFormat="1" ht="42" customHeight="1" x14ac:dyDescent="0.25">
      <c r="A495" s="385">
        <f t="shared" si="0"/>
        <v>13</v>
      </c>
      <c r="B495" s="385" t="s">
        <v>842</v>
      </c>
      <c r="C495" s="395" t="s">
        <v>843</v>
      </c>
      <c r="D495" s="419" t="s">
        <v>1509</v>
      </c>
      <c r="E495" s="428" t="s">
        <v>1510</v>
      </c>
      <c r="F495" s="428" t="s">
        <v>595</v>
      </c>
      <c r="G495" s="385" t="s">
        <v>49</v>
      </c>
      <c r="H495" s="385" t="s">
        <v>49</v>
      </c>
      <c r="I495" s="385" t="s">
        <v>49</v>
      </c>
      <c r="J495" s="385" t="s">
        <v>49</v>
      </c>
      <c r="K495" s="385" t="s">
        <v>49</v>
      </c>
      <c r="L495" s="391" t="s">
        <v>595</v>
      </c>
      <c r="M495" s="389" t="s">
        <v>1511</v>
      </c>
      <c r="N495" s="429"/>
      <c r="O495" s="420"/>
      <c r="P495" s="420">
        <v>25000000</v>
      </c>
      <c r="Q495" s="393" t="s">
        <v>200</v>
      </c>
    </row>
    <row r="496" spans="1:17" s="394" customFormat="1" ht="60" x14ac:dyDescent="0.25">
      <c r="A496" s="385">
        <v>12</v>
      </c>
      <c r="B496" s="385" t="s">
        <v>825</v>
      </c>
      <c r="C496" s="395" t="s">
        <v>826</v>
      </c>
      <c r="D496" s="388" t="s">
        <v>1512</v>
      </c>
      <c r="E496" s="388" t="s">
        <v>1513</v>
      </c>
      <c r="F496" s="389" t="s">
        <v>595</v>
      </c>
      <c r="G496" s="419" t="s">
        <v>49</v>
      </c>
      <c r="H496" s="419" t="s">
        <v>49</v>
      </c>
      <c r="I496" s="419" t="s">
        <v>49</v>
      </c>
      <c r="J496" s="419" t="s">
        <v>49</v>
      </c>
      <c r="K496" s="419" t="s">
        <v>49</v>
      </c>
      <c r="L496" s="408" t="s">
        <v>1514</v>
      </c>
      <c r="M496" s="389" t="s">
        <v>1515</v>
      </c>
      <c r="N496" s="397"/>
      <c r="O496" s="392"/>
      <c r="P496" s="392">
        <v>20000000</v>
      </c>
      <c r="Q496" s="393" t="s">
        <v>200</v>
      </c>
    </row>
    <row r="497" spans="1:17" s="394" customFormat="1" ht="171" customHeight="1" x14ac:dyDescent="0.25">
      <c r="A497" s="385">
        <f t="shared" si="0"/>
        <v>13</v>
      </c>
      <c r="B497" s="385" t="s">
        <v>1043</v>
      </c>
      <c r="C497" s="395" t="s">
        <v>1516</v>
      </c>
      <c r="D497" s="388" t="s">
        <v>1517</v>
      </c>
      <c r="E497" s="388" t="s">
        <v>1518</v>
      </c>
      <c r="F497" s="388" t="s">
        <v>1519</v>
      </c>
      <c r="G497" s="419" t="s">
        <v>49</v>
      </c>
      <c r="H497" s="419" t="s">
        <v>49</v>
      </c>
      <c r="I497" s="419" t="s">
        <v>49</v>
      </c>
      <c r="J497" s="419" t="s">
        <v>49</v>
      </c>
      <c r="K497" s="419" t="s">
        <v>49</v>
      </c>
      <c r="L497" s="391" t="s">
        <v>1618</v>
      </c>
      <c r="M497" s="388" t="s">
        <v>1520</v>
      </c>
      <c r="N497" s="392"/>
      <c r="O497" s="392"/>
      <c r="P497" s="392">
        <v>2000000000</v>
      </c>
      <c r="Q497" s="393" t="s">
        <v>200</v>
      </c>
    </row>
    <row r="498" spans="1:17" s="394" customFormat="1" ht="82.5" customHeight="1" x14ac:dyDescent="0.25">
      <c r="A498" s="385">
        <f t="shared" si="0"/>
        <v>14</v>
      </c>
      <c r="B498" s="385" t="s">
        <v>1043</v>
      </c>
      <c r="C498" s="395" t="s">
        <v>1516</v>
      </c>
      <c r="D498" s="388" t="s">
        <v>1517</v>
      </c>
      <c r="E498" s="388" t="s">
        <v>1518</v>
      </c>
      <c r="F498" s="388" t="s">
        <v>1521</v>
      </c>
      <c r="G498" s="419" t="s">
        <v>49</v>
      </c>
      <c r="H498" s="419" t="s">
        <v>49</v>
      </c>
      <c r="I498" s="419" t="s">
        <v>49</v>
      </c>
      <c r="J498" s="419" t="s">
        <v>49</v>
      </c>
      <c r="K498" s="419" t="s">
        <v>49</v>
      </c>
      <c r="L498" s="391" t="s">
        <v>1522</v>
      </c>
      <c r="M498" s="389" t="s">
        <v>1523</v>
      </c>
      <c r="N498" s="392"/>
      <c r="O498" s="392"/>
      <c r="P498" s="392">
        <v>2000000000</v>
      </c>
      <c r="Q498" s="393" t="s">
        <v>200</v>
      </c>
    </row>
    <row r="499" spans="1:17" s="394" customFormat="1" ht="84.75" customHeight="1" x14ac:dyDescent="0.25">
      <c r="A499" s="385">
        <v>13</v>
      </c>
      <c r="B499" s="385" t="s">
        <v>1043</v>
      </c>
      <c r="C499" s="395" t="s">
        <v>1516</v>
      </c>
      <c r="D499" s="388" t="s">
        <v>1517</v>
      </c>
      <c r="E499" s="388" t="s">
        <v>1518</v>
      </c>
      <c r="F499" s="388" t="s">
        <v>1521</v>
      </c>
      <c r="G499" s="419" t="s">
        <v>49</v>
      </c>
      <c r="H499" s="419" t="s">
        <v>49</v>
      </c>
      <c r="I499" s="419" t="s">
        <v>49</v>
      </c>
      <c r="J499" s="419" t="s">
        <v>49</v>
      </c>
      <c r="K499" s="419" t="s">
        <v>49</v>
      </c>
      <c r="L499" s="391" t="s">
        <v>1524</v>
      </c>
      <c r="M499" s="389" t="s">
        <v>1525</v>
      </c>
      <c r="N499" s="392"/>
      <c r="O499" s="392"/>
      <c r="P499" s="392">
        <v>2000000000</v>
      </c>
      <c r="Q499" s="393" t="s">
        <v>200</v>
      </c>
    </row>
    <row r="500" spans="1:17" s="394" customFormat="1" ht="60.75" customHeight="1" x14ac:dyDescent="0.25">
      <c r="A500" s="385">
        <f t="shared" si="0"/>
        <v>14</v>
      </c>
      <c r="B500" s="385" t="s">
        <v>1374</v>
      </c>
      <c r="C500" s="395" t="s">
        <v>1526</v>
      </c>
      <c r="D500" s="388" t="s">
        <v>1527</v>
      </c>
      <c r="E500" s="388" t="s">
        <v>1528</v>
      </c>
      <c r="F500" s="388" t="s">
        <v>1529</v>
      </c>
      <c r="G500" s="419" t="s">
        <v>49</v>
      </c>
      <c r="H500" s="419" t="s">
        <v>49</v>
      </c>
      <c r="I500" s="419" t="s">
        <v>49</v>
      </c>
      <c r="J500" s="419" t="s">
        <v>49</v>
      </c>
      <c r="K500" s="419" t="s">
        <v>49</v>
      </c>
      <c r="L500" s="391" t="s">
        <v>1530</v>
      </c>
      <c r="M500" s="389" t="s">
        <v>1531</v>
      </c>
      <c r="N500" s="397"/>
      <c r="O500" s="392"/>
      <c r="P500" s="392">
        <v>21750000</v>
      </c>
      <c r="Q500" s="393" t="s">
        <v>200</v>
      </c>
    </row>
    <row r="501" spans="1:17" s="394" customFormat="1" ht="42.75" customHeight="1" x14ac:dyDescent="0.25">
      <c r="A501" s="385">
        <f t="shared" si="0"/>
        <v>15</v>
      </c>
      <c r="B501" s="385" t="s">
        <v>1374</v>
      </c>
      <c r="C501" s="395" t="s">
        <v>1526</v>
      </c>
      <c r="D501" s="389" t="s">
        <v>1532</v>
      </c>
      <c r="E501" s="388" t="s">
        <v>1533</v>
      </c>
      <c r="F501" s="388" t="s">
        <v>1534</v>
      </c>
      <c r="G501" s="385" t="s">
        <v>49</v>
      </c>
      <c r="H501" s="385" t="s">
        <v>49</v>
      </c>
      <c r="I501" s="385" t="s">
        <v>49</v>
      </c>
      <c r="J501" s="385" t="s">
        <v>49</v>
      </c>
      <c r="K501" s="385" t="s">
        <v>49</v>
      </c>
      <c r="L501" s="391" t="s">
        <v>1535</v>
      </c>
      <c r="M501" s="389" t="s">
        <v>1536</v>
      </c>
      <c r="N501" s="392"/>
      <c r="O501" s="392"/>
      <c r="P501" s="392">
        <v>56000000</v>
      </c>
      <c r="Q501" s="393" t="s">
        <v>200</v>
      </c>
    </row>
    <row r="502" spans="1:17" s="394" customFormat="1" ht="75" customHeight="1" x14ac:dyDescent="0.25">
      <c r="A502" s="385">
        <v>14</v>
      </c>
      <c r="B502" s="385" t="s">
        <v>923</v>
      </c>
      <c r="C502" s="395" t="s">
        <v>1537</v>
      </c>
      <c r="D502" s="388" t="s">
        <v>1538</v>
      </c>
      <c r="E502" s="388" t="s">
        <v>1539</v>
      </c>
      <c r="F502" s="388" t="s">
        <v>1367</v>
      </c>
      <c r="G502" s="385" t="s">
        <v>49</v>
      </c>
      <c r="H502" s="385" t="s">
        <v>49</v>
      </c>
      <c r="I502" s="385" t="s">
        <v>49</v>
      </c>
      <c r="J502" s="385" t="s">
        <v>49</v>
      </c>
      <c r="K502" s="385" t="s">
        <v>49</v>
      </c>
      <c r="L502" s="391" t="s">
        <v>1540</v>
      </c>
      <c r="M502" s="389" t="s">
        <v>1541</v>
      </c>
      <c r="N502" s="392"/>
      <c r="O502" s="392"/>
      <c r="P502" s="392">
        <v>20000000</v>
      </c>
      <c r="Q502" s="393" t="s">
        <v>200</v>
      </c>
    </row>
    <row r="503" spans="1:17" s="394" customFormat="1" ht="115.5" customHeight="1" x14ac:dyDescent="0.25">
      <c r="A503" s="385">
        <f t="shared" si="0"/>
        <v>15</v>
      </c>
      <c r="B503" s="385" t="s">
        <v>1248</v>
      </c>
      <c r="C503" s="395" t="s">
        <v>1442</v>
      </c>
      <c r="D503" s="388" t="s">
        <v>1542</v>
      </c>
      <c r="E503" s="388" t="s">
        <v>1422</v>
      </c>
      <c r="F503" s="389" t="s">
        <v>152</v>
      </c>
      <c r="G503" s="390" t="s">
        <v>49</v>
      </c>
      <c r="H503" s="390" t="s">
        <v>49</v>
      </c>
      <c r="I503" s="390" t="s">
        <v>49</v>
      </c>
      <c r="J503" s="390" t="s">
        <v>49</v>
      </c>
      <c r="K503" s="390" t="s">
        <v>49</v>
      </c>
      <c r="L503" s="391" t="s">
        <v>1262</v>
      </c>
      <c r="M503" s="389" t="s">
        <v>1310</v>
      </c>
      <c r="N503" s="392"/>
      <c r="O503" s="392"/>
      <c r="P503" s="392">
        <v>20000000</v>
      </c>
      <c r="Q503" s="393" t="s">
        <v>200</v>
      </c>
    </row>
    <row r="504" spans="1:17" s="394" customFormat="1" ht="45.75" customHeight="1" x14ac:dyDescent="0.25">
      <c r="A504" s="385">
        <f t="shared" si="0"/>
        <v>16</v>
      </c>
      <c r="B504" s="385" t="s">
        <v>842</v>
      </c>
      <c r="C504" s="395" t="s">
        <v>843</v>
      </c>
      <c r="D504" s="388" t="s">
        <v>1543</v>
      </c>
      <c r="E504" s="388" t="s">
        <v>1544</v>
      </c>
      <c r="F504" s="388" t="s">
        <v>1545</v>
      </c>
      <c r="G504" s="385" t="s">
        <v>49</v>
      </c>
      <c r="H504" s="385" t="s">
        <v>49</v>
      </c>
      <c r="I504" s="385" t="s">
        <v>49</v>
      </c>
      <c r="J504" s="385" t="s">
        <v>49</v>
      </c>
      <c r="K504" s="385" t="s">
        <v>49</v>
      </c>
      <c r="L504" s="391" t="s">
        <v>1546</v>
      </c>
      <c r="M504" s="388" t="s">
        <v>1547</v>
      </c>
      <c r="N504" s="397"/>
      <c r="O504" s="392"/>
      <c r="P504" s="417">
        <v>15000000</v>
      </c>
      <c r="Q504" s="393" t="s">
        <v>200</v>
      </c>
    </row>
    <row r="505" spans="1:17" s="394" customFormat="1" ht="63.75" customHeight="1" x14ac:dyDescent="0.25">
      <c r="A505" s="385">
        <v>15</v>
      </c>
      <c r="B505" s="385" t="s">
        <v>842</v>
      </c>
      <c r="C505" s="389" t="s">
        <v>1548</v>
      </c>
      <c r="D505" s="388" t="s">
        <v>1549</v>
      </c>
      <c r="E505" s="388" t="s">
        <v>1550</v>
      </c>
      <c r="F505" s="388" t="s">
        <v>1551</v>
      </c>
      <c r="G505" s="385" t="s">
        <v>49</v>
      </c>
      <c r="H505" s="385" t="s">
        <v>49</v>
      </c>
      <c r="I505" s="385" t="s">
        <v>49</v>
      </c>
      <c r="J505" s="385" t="s">
        <v>49</v>
      </c>
      <c r="K505" s="385" t="s">
        <v>49</v>
      </c>
      <c r="L505" s="391" t="s">
        <v>1546</v>
      </c>
      <c r="M505" s="389" t="s">
        <v>1552</v>
      </c>
      <c r="N505" s="397"/>
      <c r="O505" s="392"/>
      <c r="P505" s="417">
        <v>6000000</v>
      </c>
      <c r="Q505" s="393" t="s">
        <v>200</v>
      </c>
    </row>
    <row r="506" spans="1:17" s="394" customFormat="1" ht="119.25" customHeight="1" x14ac:dyDescent="0.25">
      <c r="A506" s="385">
        <f t="shared" si="0"/>
        <v>16</v>
      </c>
      <c r="B506" s="385" t="s">
        <v>1061</v>
      </c>
      <c r="C506" s="395" t="s">
        <v>357</v>
      </c>
      <c r="D506" s="388" t="s">
        <v>1553</v>
      </c>
      <c r="E506" s="388" t="s">
        <v>1554</v>
      </c>
      <c r="F506" s="388" t="s">
        <v>1555</v>
      </c>
      <c r="G506" s="385" t="s">
        <v>49</v>
      </c>
      <c r="H506" s="385" t="s">
        <v>49</v>
      </c>
      <c r="I506" s="385" t="s">
        <v>49</v>
      </c>
      <c r="J506" s="385" t="s">
        <v>49</v>
      </c>
      <c r="K506" s="385" t="s">
        <v>49</v>
      </c>
      <c r="L506" s="391" t="s">
        <v>1619</v>
      </c>
      <c r="M506" s="389" t="s">
        <v>1556</v>
      </c>
      <c r="N506" s="397"/>
      <c r="O506" s="392"/>
      <c r="P506" s="417">
        <v>25000000</v>
      </c>
      <c r="Q506" s="393" t="s">
        <v>200</v>
      </c>
    </row>
    <row r="507" spans="1:17" s="394" customFormat="1" ht="73.5" customHeight="1" x14ac:dyDescent="0.25">
      <c r="A507" s="385">
        <f t="shared" si="0"/>
        <v>17</v>
      </c>
      <c r="B507" s="385" t="s">
        <v>1503</v>
      </c>
      <c r="C507" s="395" t="s">
        <v>409</v>
      </c>
      <c r="D507" s="388" t="s">
        <v>1557</v>
      </c>
      <c r="E507" s="388" t="s">
        <v>1558</v>
      </c>
      <c r="F507" s="388" t="s">
        <v>1559</v>
      </c>
      <c r="G507" s="385" t="s">
        <v>49</v>
      </c>
      <c r="H507" s="385" t="s">
        <v>49</v>
      </c>
      <c r="I507" s="385" t="s">
        <v>49</v>
      </c>
      <c r="J507" s="385" t="s">
        <v>49</v>
      </c>
      <c r="K507" s="385" t="s">
        <v>49</v>
      </c>
      <c r="L507" s="391" t="s">
        <v>1560</v>
      </c>
      <c r="M507" s="389" t="s">
        <v>1552</v>
      </c>
      <c r="N507" s="397"/>
      <c r="O507" s="392"/>
      <c r="P507" s="417">
        <v>15000000</v>
      </c>
      <c r="Q507" s="393" t="s">
        <v>200</v>
      </c>
    </row>
    <row r="508" spans="1:17" s="394" customFormat="1" ht="60" customHeight="1" x14ac:dyDescent="0.25">
      <c r="A508" s="385">
        <v>16</v>
      </c>
      <c r="B508" s="385" t="s">
        <v>1033</v>
      </c>
      <c r="C508" s="395" t="s">
        <v>314</v>
      </c>
      <c r="D508" s="388" t="s">
        <v>1561</v>
      </c>
      <c r="E508" s="388" t="s">
        <v>1562</v>
      </c>
      <c r="F508" s="388" t="s">
        <v>1559</v>
      </c>
      <c r="G508" s="385" t="s">
        <v>49</v>
      </c>
      <c r="H508" s="385" t="s">
        <v>49</v>
      </c>
      <c r="I508" s="385" t="s">
        <v>49</v>
      </c>
      <c r="J508" s="385" t="s">
        <v>49</v>
      </c>
      <c r="K508" s="385" t="s">
        <v>49</v>
      </c>
      <c r="L508" s="391" t="s">
        <v>1560</v>
      </c>
      <c r="M508" s="389" t="s">
        <v>1556</v>
      </c>
      <c r="N508" s="397"/>
      <c r="O508" s="392"/>
      <c r="P508" s="417">
        <v>25000000</v>
      </c>
      <c r="Q508" s="393" t="s">
        <v>200</v>
      </c>
    </row>
    <row r="509" spans="1:17" s="394" customFormat="1" ht="53.25" customHeight="1" x14ac:dyDescent="0.25">
      <c r="A509" s="385">
        <f t="shared" si="0"/>
        <v>17</v>
      </c>
      <c r="B509" s="385" t="s">
        <v>1563</v>
      </c>
      <c r="C509" s="395" t="s">
        <v>367</v>
      </c>
      <c r="D509" s="389" t="s">
        <v>1564</v>
      </c>
      <c r="E509" s="388" t="s">
        <v>1565</v>
      </c>
      <c r="F509" s="388" t="s">
        <v>1559</v>
      </c>
      <c r="G509" s="385" t="s">
        <v>49</v>
      </c>
      <c r="H509" s="385" t="s">
        <v>49</v>
      </c>
      <c r="I509" s="385" t="s">
        <v>49</v>
      </c>
      <c r="J509" s="385" t="s">
        <v>49</v>
      </c>
      <c r="K509" s="385" t="s">
        <v>49</v>
      </c>
      <c r="L509" s="391" t="s">
        <v>1560</v>
      </c>
      <c r="M509" s="389" t="s">
        <v>1566</v>
      </c>
      <c r="N509" s="417"/>
      <c r="O509" s="392"/>
      <c r="P509" s="392">
        <v>10000000</v>
      </c>
      <c r="Q509" s="393" t="s">
        <v>200</v>
      </c>
    </row>
    <row r="510" spans="1:17" s="394" customFormat="1" ht="48.75" customHeight="1" x14ac:dyDescent="0.25">
      <c r="A510" s="385">
        <f t="shared" si="0"/>
        <v>18</v>
      </c>
      <c r="B510" s="385" t="s">
        <v>1374</v>
      </c>
      <c r="C510" s="395" t="s">
        <v>1526</v>
      </c>
      <c r="D510" s="388" t="s">
        <v>1567</v>
      </c>
      <c r="E510" s="389" t="s">
        <v>1568</v>
      </c>
      <c r="F510" s="389" t="s">
        <v>152</v>
      </c>
      <c r="G510" s="385" t="s">
        <v>49</v>
      </c>
      <c r="H510" s="385" t="s">
        <v>49</v>
      </c>
      <c r="I510" s="385" t="s">
        <v>49</v>
      </c>
      <c r="J510" s="385" t="s">
        <v>49</v>
      </c>
      <c r="K510" s="385" t="s">
        <v>49</v>
      </c>
      <c r="L510" s="391" t="s">
        <v>595</v>
      </c>
      <c r="M510" s="389" t="s">
        <v>1569</v>
      </c>
      <c r="N510" s="422"/>
      <c r="O510" s="392"/>
      <c r="P510" s="392">
        <v>10000000</v>
      </c>
      <c r="Q510" s="393" t="s">
        <v>200</v>
      </c>
    </row>
    <row r="511" spans="1:17" s="394" customFormat="1" ht="43.5" customHeight="1" x14ac:dyDescent="0.25">
      <c r="A511" s="385">
        <v>17</v>
      </c>
      <c r="B511" s="390" t="s">
        <v>1570</v>
      </c>
      <c r="C511" s="412" t="s">
        <v>329</v>
      </c>
      <c r="D511" s="401" t="s">
        <v>1571</v>
      </c>
      <c r="E511" s="399" t="s">
        <v>1572</v>
      </c>
      <c r="F511" s="399" t="s">
        <v>1573</v>
      </c>
      <c r="G511" s="390" t="s">
        <v>49</v>
      </c>
      <c r="H511" s="390" t="s">
        <v>49</v>
      </c>
      <c r="I511" s="390" t="s">
        <v>49</v>
      </c>
      <c r="J511" s="390" t="s">
        <v>49</v>
      </c>
      <c r="K511" s="390" t="s">
        <v>49</v>
      </c>
      <c r="L511" s="396" t="s">
        <v>1574</v>
      </c>
      <c r="M511" s="401" t="s">
        <v>1494</v>
      </c>
      <c r="N511" s="422"/>
      <c r="O511" s="402"/>
      <c r="P511" s="402">
        <v>10000000</v>
      </c>
      <c r="Q511" s="411" t="s">
        <v>200</v>
      </c>
    </row>
    <row r="512" spans="1:17" s="394" customFormat="1" ht="26.25" customHeight="1" x14ac:dyDescent="0.25">
      <c r="A512" s="845" t="s">
        <v>1615</v>
      </c>
      <c r="B512" s="845"/>
      <c r="C512" s="845"/>
      <c r="D512" s="845"/>
      <c r="E512" s="845"/>
      <c r="F512" s="845"/>
      <c r="G512" s="845"/>
      <c r="H512" s="845"/>
      <c r="I512" s="845"/>
      <c r="J512" s="845"/>
      <c r="K512" s="845"/>
      <c r="L512" s="845"/>
      <c r="M512" s="845"/>
      <c r="N512" s="430">
        <f>SUM(N474:N511)</f>
        <v>0</v>
      </c>
      <c r="O512" s="430">
        <f>SUM(O474:O511)</f>
        <v>0</v>
      </c>
      <c r="P512" s="430">
        <f>SUM(P474:P511)</f>
        <v>10075750000</v>
      </c>
      <c r="Q512" s="431"/>
    </row>
    <row r="513" spans="1:17" s="367" customFormat="1" ht="15.75" customHeight="1" x14ac:dyDescent="0.25">
      <c r="A513" s="190"/>
      <c r="B513" s="190" t="s">
        <v>38</v>
      </c>
      <c r="C513" s="190"/>
      <c r="D513" s="192"/>
      <c r="E513" s="192"/>
      <c r="F513" s="192"/>
      <c r="G513" s="192"/>
      <c r="H513" s="192"/>
      <c r="I513" s="192"/>
      <c r="J513" s="192"/>
      <c r="K513" s="192"/>
      <c r="L513" s="192"/>
      <c r="M513" s="190"/>
      <c r="N513" s="190"/>
      <c r="O513" s="190"/>
      <c r="P513" s="190"/>
      <c r="Q513" s="190"/>
    </row>
    <row r="514" spans="1:17" s="367" customFormat="1" ht="15.75" customHeight="1" x14ac:dyDescent="0.25">
      <c r="A514" s="841" t="s">
        <v>40</v>
      </c>
      <c r="B514" s="842"/>
      <c r="C514" s="842"/>
      <c r="D514" s="842"/>
      <c r="E514" s="842"/>
      <c r="F514" s="842"/>
      <c r="G514" s="842"/>
      <c r="H514" s="842"/>
      <c r="I514" s="842"/>
      <c r="J514" s="842"/>
      <c r="K514" s="842"/>
      <c r="L514" s="842"/>
      <c r="M514" s="842"/>
      <c r="N514" s="842"/>
      <c r="O514" s="842"/>
      <c r="P514" s="842"/>
      <c r="Q514" s="843"/>
    </row>
    <row r="515" spans="1:17" s="394" customFormat="1" ht="59.25" customHeight="1" x14ac:dyDescent="0.25">
      <c r="A515" s="432">
        <v>1</v>
      </c>
      <c r="B515" s="385" t="s">
        <v>139</v>
      </c>
      <c r="C515" s="395" t="s">
        <v>1929</v>
      </c>
      <c r="D515" s="389" t="s">
        <v>1930</v>
      </c>
      <c r="E515" s="388" t="s">
        <v>1915</v>
      </c>
      <c r="F515" s="388" t="s">
        <v>1261</v>
      </c>
      <c r="G515" s="385" t="s">
        <v>49</v>
      </c>
      <c r="H515" s="389"/>
      <c r="I515" s="389"/>
      <c r="J515" s="389"/>
      <c r="K515" s="389"/>
      <c r="L515" s="391" t="s">
        <v>1478</v>
      </c>
      <c r="M515" s="388" t="s">
        <v>1931</v>
      </c>
      <c r="N515" s="392">
        <v>10275000</v>
      </c>
      <c r="O515" s="392"/>
      <c r="P515" s="392"/>
      <c r="Q515" s="398"/>
    </row>
    <row r="516" spans="1:17" s="394" customFormat="1" ht="57" customHeight="1" x14ac:dyDescent="0.25">
      <c r="A516" s="432">
        <f t="shared" ref="A516:A579" si="1">A515+1</f>
        <v>2</v>
      </c>
      <c r="B516" s="385" t="s">
        <v>1003</v>
      </c>
      <c r="C516" s="395" t="s">
        <v>1004</v>
      </c>
      <c r="D516" s="388" t="s">
        <v>1932</v>
      </c>
      <c r="E516" s="388" t="s">
        <v>1933</v>
      </c>
      <c r="F516" s="388" t="s">
        <v>1934</v>
      </c>
      <c r="G516" s="390" t="s">
        <v>49</v>
      </c>
      <c r="H516" s="390" t="s">
        <v>49</v>
      </c>
      <c r="I516" s="390" t="s">
        <v>49</v>
      </c>
      <c r="J516" s="390" t="s">
        <v>49</v>
      </c>
      <c r="K516" s="390" t="s">
        <v>49</v>
      </c>
      <c r="L516" s="391" t="s">
        <v>1478</v>
      </c>
      <c r="M516" s="388" t="s">
        <v>1935</v>
      </c>
      <c r="N516" s="392">
        <v>19300000</v>
      </c>
      <c r="O516" s="392"/>
      <c r="P516" s="392"/>
      <c r="Q516" s="398"/>
    </row>
    <row r="517" spans="1:17" s="394" customFormat="1" ht="59.25" customHeight="1" x14ac:dyDescent="0.25">
      <c r="A517" s="432">
        <f t="shared" si="1"/>
        <v>3</v>
      </c>
      <c r="B517" s="385" t="s">
        <v>1720</v>
      </c>
      <c r="C517" s="395" t="s">
        <v>1721</v>
      </c>
      <c r="D517" s="399" t="s">
        <v>1936</v>
      </c>
      <c r="E517" s="399" t="s">
        <v>1937</v>
      </c>
      <c r="F517" s="399" t="s">
        <v>1573</v>
      </c>
      <c r="G517" s="399"/>
      <c r="H517" s="399"/>
      <c r="I517" s="399"/>
      <c r="J517" s="390" t="s">
        <v>49</v>
      </c>
      <c r="K517" s="390" t="s">
        <v>1938</v>
      </c>
      <c r="L517" s="400" t="s">
        <v>16</v>
      </c>
      <c r="M517" s="388" t="s">
        <v>1935</v>
      </c>
      <c r="N517" s="406">
        <v>11600000</v>
      </c>
      <c r="O517" s="406"/>
      <c r="P517" s="406"/>
      <c r="Q517" s="403"/>
    </row>
    <row r="518" spans="1:17" s="394" customFormat="1" ht="42" customHeight="1" x14ac:dyDescent="0.25">
      <c r="A518" s="432">
        <v>2</v>
      </c>
      <c r="B518" s="385" t="s">
        <v>1939</v>
      </c>
      <c r="C518" s="395" t="s">
        <v>1859</v>
      </c>
      <c r="D518" s="399" t="s">
        <v>1940</v>
      </c>
      <c r="E518" s="399" t="s">
        <v>1941</v>
      </c>
      <c r="F518" s="399" t="s">
        <v>1942</v>
      </c>
      <c r="G518" s="399"/>
      <c r="H518" s="399"/>
      <c r="I518" s="399"/>
      <c r="J518" s="399"/>
      <c r="K518" s="390" t="s">
        <v>1938</v>
      </c>
      <c r="L518" s="400" t="s">
        <v>16</v>
      </c>
      <c r="M518" s="399" t="s">
        <v>1943</v>
      </c>
      <c r="N518" s="406">
        <v>5100000</v>
      </c>
      <c r="O518" s="406"/>
      <c r="P518" s="406"/>
      <c r="Q518" s="403"/>
    </row>
    <row r="519" spans="1:17" s="394" customFormat="1" ht="42" customHeight="1" x14ac:dyDescent="0.25">
      <c r="A519" s="432">
        <f t="shared" si="1"/>
        <v>3</v>
      </c>
      <c r="B519" s="385" t="s">
        <v>793</v>
      </c>
      <c r="C519" s="395" t="s">
        <v>1470</v>
      </c>
      <c r="D519" s="389" t="s">
        <v>1944</v>
      </c>
      <c r="E519" s="388" t="s">
        <v>1453</v>
      </c>
      <c r="F519" s="388" t="s">
        <v>1367</v>
      </c>
      <c r="G519" s="385" t="s">
        <v>49</v>
      </c>
      <c r="H519" s="385"/>
      <c r="I519" s="385" t="s">
        <v>49</v>
      </c>
      <c r="J519" s="385" t="s">
        <v>49</v>
      </c>
      <c r="K519" s="385"/>
      <c r="L519" s="391" t="s">
        <v>1427</v>
      </c>
      <c r="M519" s="399" t="s">
        <v>1943</v>
      </c>
      <c r="N519" s="417">
        <v>16100000</v>
      </c>
      <c r="O519" s="392"/>
      <c r="P519" s="392"/>
      <c r="Q519" s="393"/>
    </row>
    <row r="520" spans="1:17" s="394" customFormat="1" ht="42" customHeight="1" x14ac:dyDescent="0.25">
      <c r="A520" s="432">
        <f t="shared" si="1"/>
        <v>4</v>
      </c>
      <c r="B520" s="405" t="s">
        <v>1227</v>
      </c>
      <c r="C520" s="395" t="s">
        <v>1726</v>
      </c>
      <c r="D520" s="388" t="s">
        <v>1945</v>
      </c>
      <c r="E520" s="389" t="s">
        <v>1946</v>
      </c>
      <c r="F520" s="389" t="s">
        <v>1261</v>
      </c>
      <c r="G520" s="385" t="s">
        <v>49</v>
      </c>
      <c r="H520" s="385" t="s">
        <v>49</v>
      </c>
      <c r="I520" s="385" t="s">
        <v>49</v>
      </c>
      <c r="J520" s="385" t="s">
        <v>49</v>
      </c>
      <c r="K520" s="385" t="s">
        <v>49</v>
      </c>
      <c r="L520" s="391" t="s">
        <v>1947</v>
      </c>
      <c r="M520" s="389" t="s">
        <v>1882</v>
      </c>
      <c r="N520" s="392">
        <v>3450000</v>
      </c>
      <c r="O520" s="392"/>
      <c r="P520" s="392"/>
      <c r="Q520" s="393"/>
    </row>
    <row r="521" spans="1:17" s="394" customFormat="1" ht="42" customHeight="1" x14ac:dyDescent="0.25">
      <c r="A521" s="432">
        <v>3</v>
      </c>
      <c r="B521" s="405" t="s">
        <v>1740</v>
      </c>
      <c r="C521" s="395" t="s">
        <v>1741</v>
      </c>
      <c r="D521" s="388" t="s">
        <v>1948</v>
      </c>
      <c r="E521" s="433" t="s">
        <v>1949</v>
      </c>
      <c r="F521" s="433" t="s">
        <v>1950</v>
      </c>
      <c r="G521" s="390" t="s">
        <v>49</v>
      </c>
      <c r="H521" s="390" t="s">
        <v>49</v>
      </c>
      <c r="I521" s="390" t="s">
        <v>49</v>
      </c>
      <c r="J521" s="390" t="s">
        <v>49</v>
      </c>
      <c r="K521" s="390" t="s">
        <v>49</v>
      </c>
      <c r="L521" s="391" t="s">
        <v>1745</v>
      </c>
      <c r="M521" s="388" t="s">
        <v>239</v>
      </c>
      <c r="N521" s="392">
        <v>34607700</v>
      </c>
      <c r="O521" s="434"/>
      <c r="P521" s="434"/>
      <c r="Q521" s="431"/>
    </row>
    <row r="522" spans="1:17" s="394" customFormat="1" ht="59.25" customHeight="1" x14ac:dyDescent="0.25">
      <c r="A522" s="432">
        <f t="shared" si="1"/>
        <v>4</v>
      </c>
      <c r="B522" s="405" t="s">
        <v>1849</v>
      </c>
      <c r="C522" s="395" t="s">
        <v>1850</v>
      </c>
      <c r="D522" s="388" t="s">
        <v>1951</v>
      </c>
      <c r="E522" s="433" t="s">
        <v>1952</v>
      </c>
      <c r="F522" s="433" t="s">
        <v>1953</v>
      </c>
      <c r="G522" s="390" t="s">
        <v>49</v>
      </c>
      <c r="H522" s="390" t="s">
        <v>49</v>
      </c>
      <c r="I522" s="390" t="s">
        <v>49</v>
      </c>
      <c r="J522" s="390" t="s">
        <v>49</v>
      </c>
      <c r="K522" s="390" t="s">
        <v>49</v>
      </c>
      <c r="L522" s="391" t="s">
        <v>1745</v>
      </c>
      <c r="M522" s="388" t="s">
        <v>1595</v>
      </c>
      <c r="N522" s="392">
        <v>11535900</v>
      </c>
      <c r="O522" s="392"/>
      <c r="P522" s="392"/>
      <c r="Q522" s="393"/>
    </row>
    <row r="523" spans="1:17" s="394" customFormat="1" ht="57.75" customHeight="1" x14ac:dyDescent="0.25">
      <c r="A523" s="432">
        <f t="shared" si="1"/>
        <v>5</v>
      </c>
      <c r="B523" s="435" t="s">
        <v>809</v>
      </c>
      <c r="C523" s="395" t="s">
        <v>1637</v>
      </c>
      <c r="D523" s="406" t="s">
        <v>1954</v>
      </c>
      <c r="E523" s="406" t="s">
        <v>1955</v>
      </c>
      <c r="F523" s="396" t="s">
        <v>1261</v>
      </c>
      <c r="G523" s="436" t="s">
        <v>49</v>
      </c>
      <c r="H523" s="436" t="s">
        <v>49</v>
      </c>
      <c r="I523" s="436"/>
      <c r="J523" s="436" t="s">
        <v>49</v>
      </c>
      <c r="K523" s="436" t="s">
        <v>49</v>
      </c>
      <c r="L523" s="437" t="s">
        <v>16</v>
      </c>
      <c r="M523" s="388" t="s">
        <v>1956</v>
      </c>
      <c r="N523" s="438">
        <v>9600000</v>
      </c>
      <c r="O523" s="402"/>
      <c r="P523" s="402"/>
      <c r="Q523" s="439"/>
    </row>
    <row r="524" spans="1:17" s="394" customFormat="1" ht="42" customHeight="1" x14ac:dyDescent="0.25">
      <c r="A524" s="432">
        <v>4</v>
      </c>
      <c r="B524" s="440" t="s">
        <v>816</v>
      </c>
      <c r="C524" s="395" t="s">
        <v>1425</v>
      </c>
      <c r="D524" s="407" t="s">
        <v>1957</v>
      </c>
      <c r="E524" s="417" t="s">
        <v>1958</v>
      </c>
      <c r="F524" s="396" t="s">
        <v>1367</v>
      </c>
      <c r="G524" s="420" t="s">
        <v>49</v>
      </c>
      <c r="H524" s="420" t="s">
        <v>49</v>
      </c>
      <c r="I524" s="420" t="s">
        <v>49</v>
      </c>
      <c r="J524" s="420" t="s">
        <v>49</v>
      </c>
      <c r="K524" s="420" t="s">
        <v>49</v>
      </c>
      <c r="L524" s="416" t="s">
        <v>16</v>
      </c>
      <c r="M524" s="392" t="s">
        <v>1889</v>
      </c>
      <c r="N524" s="438">
        <v>8185000</v>
      </c>
      <c r="O524" s="392"/>
      <c r="P524" s="392"/>
      <c r="Q524" s="441"/>
    </row>
    <row r="525" spans="1:17" s="394" customFormat="1" ht="67.5" customHeight="1" x14ac:dyDescent="0.25">
      <c r="A525" s="432">
        <f t="shared" si="1"/>
        <v>5</v>
      </c>
      <c r="B525" s="440" t="s">
        <v>816</v>
      </c>
      <c r="C525" s="395" t="s">
        <v>1425</v>
      </c>
      <c r="D525" s="407" t="s">
        <v>1959</v>
      </c>
      <c r="E525" s="417" t="s">
        <v>1958</v>
      </c>
      <c r="F525" s="396" t="s">
        <v>1367</v>
      </c>
      <c r="G525" s="420" t="s">
        <v>49</v>
      </c>
      <c r="H525" s="420" t="s">
        <v>49</v>
      </c>
      <c r="I525" s="420" t="s">
        <v>49</v>
      </c>
      <c r="J525" s="420" t="s">
        <v>49</v>
      </c>
      <c r="K525" s="420" t="s">
        <v>49</v>
      </c>
      <c r="L525" s="416" t="s">
        <v>16</v>
      </c>
      <c r="M525" s="392" t="s">
        <v>1889</v>
      </c>
      <c r="N525" s="438">
        <v>8185000</v>
      </c>
      <c r="O525" s="392"/>
      <c r="P525" s="392"/>
      <c r="Q525" s="441"/>
    </row>
    <row r="526" spans="1:17" s="394" customFormat="1" ht="42" customHeight="1" x14ac:dyDescent="0.25">
      <c r="A526" s="432">
        <f t="shared" si="1"/>
        <v>6</v>
      </c>
      <c r="B526" s="440" t="s">
        <v>816</v>
      </c>
      <c r="C526" s="395" t="s">
        <v>1425</v>
      </c>
      <c r="D526" s="407" t="s">
        <v>1960</v>
      </c>
      <c r="E526" s="417" t="s">
        <v>1958</v>
      </c>
      <c r="F526" s="396" t="s">
        <v>1367</v>
      </c>
      <c r="G526" s="420" t="s">
        <v>49</v>
      </c>
      <c r="H526" s="420" t="s">
        <v>49</v>
      </c>
      <c r="I526" s="420" t="s">
        <v>49</v>
      </c>
      <c r="J526" s="420" t="s">
        <v>49</v>
      </c>
      <c r="K526" s="420" t="s">
        <v>49</v>
      </c>
      <c r="L526" s="416" t="s">
        <v>16</v>
      </c>
      <c r="M526" s="392" t="s">
        <v>1889</v>
      </c>
      <c r="N526" s="438">
        <v>8185000</v>
      </c>
      <c r="O526" s="392"/>
      <c r="P526" s="392"/>
      <c r="Q526" s="441"/>
    </row>
    <row r="527" spans="1:17" s="394" customFormat="1" ht="69.75" customHeight="1" x14ac:dyDescent="0.25">
      <c r="A527" s="432">
        <v>5</v>
      </c>
      <c r="B527" s="440" t="s">
        <v>816</v>
      </c>
      <c r="C527" s="395" t="s">
        <v>1425</v>
      </c>
      <c r="D527" s="407" t="s">
        <v>1961</v>
      </c>
      <c r="E527" s="417" t="s">
        <v>1962</v>
      </c>
      <c r="F527" s="396" t="s">
        <v>1367</v>
      </c>
      <c r="G527" s="420" t="s">
        <v>49</v>
      </c>
      <c r="H527" s="420" t="s">
        <v>49</v>
      </c>
      <c r="I527" s="420" t="s">
        <v>49</v>
      </c>
      <c r="J527" s="420" t="s">
        <v>49</v>
      </c>
      <c r="K527" s="420" t="s">
        <v>49</v>
      </c>
      <c r="L527" s="416" t="s">
        <v>16</v>
      </c>
      <c r="M527" s="392" t="s">
        <v>1889</v>
      </c>
      <c r="N527" s="438">
        <v>8185000</v>
      </c>
      <c r="O527" s="392"/>
      <c r="P527" s="392"/>
      <c r="Q527" s="441"/>
    </row>
    <row r="528" spans="1:17" s="394" customFormat="1" ht="42" customHeight="1" x14ac:dyDescent="0.25">
      <c r="A528" s="432">
        <f t="shared" si="1"/>
        <v>6</v>
      </c>
      <c r="B528" s="440" t="s">
        <v>816</v>
      </c>
      <c r="C528" s="395" t="s">
        <v>1425</v>
      </c>
      <c r="D528" s="407" t="s">
        <v>1963</v>
      </c>
      <c r="E528" s="417" t="s">
        <v>1964</v>
      </c>
      <c r="F528" s="396" t="s">
        <v>1367</v>
      </c>
      <c r="G528" s="420" t="s">
        <v>49</v>
      </c>
      <c r="H528" s="420" t="s">
        <v>49</v>
      </c>
      <c r="I528" s="420" t="s">
        <v>49</v>
      </c>
      <c r="J528" s="420" t="s">
        <v>49</v>
      </c>
      <c r="K528" s="420" t="s">
        <v>49</v>
      </c>
      <c r="L528" s="416" t="s">
        <v>16</v>
      </c>
      <c r="M528" s="392" t="s">
        <v>1889</v>
      </c>
      <c r="N528" s="438">
        <v>8185000</v>
      </c>
      <c r="O528" s="392"/>
      <c r="P528" s="392"/>
      <c r="Q528" s="441"/>
    </row>
    <row r="529" spans="1:17" s="394" customFormat="1" ht="56.25" customHeight="1" x14ac:dyDescent="0.25">
      <c r="A529" s="432">
        <f t="shared" si="1"/>
        <v>7</v>
      </c>
      <c r="B529" s="442" t="s">
        <v>809</v>
      </c>
      <c r="C529" s="395" t="s">
        <v>1637</v>
      </c>
      <c r="D529" s="443" t="s">
        <v>1965</v>
      </c>
      <c r="E529" s="443" t="s">
        <v>1946</v>
      </c>
      <c r="F529" s="443" t="s">
        <v>152</v>
      </c>
      <c r="G529" s="420" t="s">
        <v>49</v>
      </c>
      <c r="H529" s="420" t="s">
        <v>49</v>
      </c>
      <c r="I529" s="420" t="s">
        <v>49</v>
      </c>
      <c r="J529" s="420" t="s">
        <v>49</v>
      </c>
      <c r="K529" s="420" t="s">
        <v>49</v>
      </c>
      <c r="L529" s="416" t="s">
        <v>16</v>
      </c>
      <c r="M529" s="444" t="s">
        <v>1966</v>
      </c>
      <c r="N529" s="445">
        <v>10950000</v>
      </c>
      <c r="O529" s="434"/>
      <c r="P529" s="434"/>
      <c r="Q529" s="431"/>
    </row>
    <row r="530" spans="1:17" s="394" customFormat="1" ht="60" customHeight="1" x14ac:dyDescent="0.25">
      <c r="A530" s="432">
        <v>6</v>
      </c>
      <c r="B530" s="442" t="s">
        <v>1967</v>
      </c>
      <c r="C530" s="391" t="s">
        <v>1968</v>
      </c>
      <c r="D530" s="407" t="s">
        <v>1969</v>
      </c>
      <c r="E530" s="407" t="s">
        <v>1970</v>
      </c>
      <c r="F530" s="443" t="s">
        <v>152</v>
      </c>
      <c r="G530" s="420" t="s">
        <v>49</v>
      </c>
      <c r="H530" s="420" t="s">
        <v>49</v>
      </c>
      <c r="I530" s="420" t="s">
        <v>49</v>
      </c>
      <c r="J530" s="420" t="s">
        <v>49</v>
      </c>
      <c r="K530" s="420" t="s">
        <v>49</v>
      </c>
      <c r="L530" s="416" t="s">
        <v>1626</v>
      </c>
      <c r="M530" s="443" t="s">
        <v>917</v>
      </c>
      <c r="N530" s="445">
        <v>15000000</v>
      </c>
      <c r="O530" s="434"/>
      <c r="P530" s="434"/>
      <c r="Q530" s="431"/>
    </row>
    <row r="531" spans="1:17" s="394" customFormat="1" ht="54.75" customHeight="1" x14ac:dyDescent="0.25">
      <c r="A531" s="432">
        <f t="shared" si="1"/>
        <v>7</v>
      </c>
      <c r="B531" s="405" t="s">
        <v>521</v>
      </c>
      <c r="C531" s="395" t="s">
        <v>1864</v>
      </c>
      <c r="D531" s="399" t="s">
        <v>1971</v>
      </c>
      <c r="E531" s="399" t="s">
        <v>1972</v>
      </c>
      <c r="F531" s="399" t="s">
        <v>1573</v>
      </c>
      <c r="G531" s="390" t="s">
        <v>49</v>
      </c>
      <c r="H531" s="390" t="s">
        <v>49</v>
      </c>
      <c r="I531" s="390" t="s">
        <v>49</v>
      </c>
      <c r="J531" s="390" t="s">
        <v>49</v>
      </c>
      <c r="K531" s="390" t="s">
        <v>49</v>
      </c>
      <c r="L531" s="400" t="s">
        <v>1594</v>
      </c>
      <c r="M531" s="399" t="s">
        <v>1746</v>
      </c>
      <c r="N531" s="406">
        <v>8000000</v>
      </c>
      <c r="O531" s="406"/>
      <c r="P531" s="406"/>
      <c r="Q531" s="403"/>
    </row>
    <row r="532" spans="1:17" s="394" customFormat="1" ht="88.5" customHeight="1" x14ac:dyDescent="0.25">
      <c r="A532" s="432">
        <f t="shared" si="1"/>
        <v>8</v>
      </c>
      <c r="B532" s="405" t="s">
        <v>1632</v>
      </c>
      <c r="C532" s="395" t="s">
        <v>1633</v>
      </c>
      <c r="D532" s="399" t="s">
        <v>1973</v>
      </c>
      <c r="E532" s="399" t="s">
        <v>1974</v>
      </c>
      <c r="F532" s="399" t="s">
        <v>1573</v>
      </c>
      <c r="G532" s="390" t="s">
        <v>49</v>
      </c>
      <c r="H532" s="390" t="s">
        <v>49</v>
      </c>
      <c r="I532" s="390" t="s">
        <v>49</v>
      </c>
      <c r="J532" s="390" t="s">
        <v>49</v>
      </c>
      <c r="K532" s="390" t="s">
        <v>49</v>
      </c>
      <c r="L532" s="400" t="s">
        <v>16</v>
      </c>
      <c r="M532" s="399" t="s">
        <v>1636</v>
      </c>
      <c r="N532" s="406">
        <v>14440000</v>
      </c>
      <c r="O532" s="406"/>
      <c r="P532" s="406"/>
      <c r="Q532" s="403"/>
    </row>
    <row r="533" spans="1:17" s="394" customFormat="1" ht="33.75" customHeight="1" x14ac:dyDescent="0.25">
      <c r="A533" s="432">
        <v>7</v>
      </c>
      <c r="B533" s="385" t="s">
        <v>1621</v>
      </c>
      <c r="C533" s="395" t="s">
        <v>1622</v>
      </c>
      <c r="D533" s="388" t="s">
        <v>1623</v>
      </c>
      <c r="E533" s="388" t="s">
        <v>1624</v>
      </c>
      <c r="F533" s="388" t="s">
        <v>1625</v>
      </c>
      <c r="G533" s="388"/>
      <c r="H533" s="388"/>
      <c r="I533" s="385" t="s">
        <v>49</v>
      </c>
      <c r="J533" s="385" t="s">
        <v>49</v>
      </c>
      <c r="K533" s="385"/>
      <c r="L533" s="391" t="s">
        <v>16</v>
      </c>
      <c r="M533" s="389" t="s">
        <v>1626</v>
      </c>
      <c r="N533" s="397"/>
      <c r="O533" s="392"/>
      <c r="P533" s="392">
        <v>3000000</v>
      </c>
      <c r="Q533" s="446" t="s">
        <v>1975</v>
      </c>
    </row>
    <row r="534" spans="1:17" s="394" customFormat="1" ht="37.5" customHeight="1" x14ac:dyDescent="0.25">
      <c r="A534" s="432">
        <f t="shared" si="1"/>
        <v>8</v>
      </c>
      <c r="B534" s="447" t="s">
        <v>1627</v>
      </c>
      <c r="C534" s="395" t="s">
        <v>1628</v>
      </c>
      <c r="D534" s="400" t="s">
        <v>1629</v>
      </c>
      <c r="E534" s="399" t="s">
        <v>1630</v>
      </c>
      <c r="F534" s="389" t="s">
        <v>152</v>
      </c>
      <c r="G534" s="390" t="s">
        <v>49</v>
      </c>
      <c r="H534" s="390" t="s">
        <v>49</v>
      </c>
      <c r="I534" s="390" t="s">
        <v>49</v>
      </c>
      <c r="J534" s="390" t="s">
        <v>49</v>
      </c>
      <c r="K534" s="390" t="s">
        <v>49</v>
      </c>
      <c r="L534" s="448" t="s">
        <v>632</v>
      </c>
      <c r="M534" s="449">
        <v>40</v>
      </c>
      <c r="N534" s="436"/>
      <c r="O534" s="450"/>
      <c r="P534" s="451">
        <v>4000000</v>
      </c>
      <c r="Q534" s="452" t="s">
        <v>1631</v>
      </c>
    </row>
    <row r="535" spans="1:17" s="394" customFormat="1" ht="38.25" customHeight="1" x14ac:dyDescent="0.25">
      <c r="A535" s="432">
        <f t="shared" si="1"/>
        <v>9</v>
      </c>
      <c r="B535" s="405" t="s">
        <v>1632</v>
      </c>
      <c r="C535" s="395" t="s">
        <v>1633</v>
      </c>
      <c r="D535" s="399" t="s">
        <v>1634</v>
      </c>
      <c r="E535" s="399" t="s">
        <v>1635</v>
      </c>
      <c r="F535" s="399" t="s">
        <v>1573</v>
      </c>
      <c r="G535" s="390" t="s">
        <v>49</v>
      </c>
      <c r="H535" s="390" t="s">
        <v>49</v>
      </c>
      <c r="I535" s="390" t="s">
        <v>49</v>
      </c>
      <c r="J535" s="390" t="s">
        <v>49</v>
      </c>
      <c r="K535" s="390" t="s">
        <v>49</v>
      </c>
      <c r="L535" s="400" t="s">
        <v>1594</v>
      </c>
      <c r="M535" s="399" t="s">
        <v>1636</v>
      </c>
      <c r="N535" s="406"/>
      <c r="O535" s="406"/>
      <c r="P535" s="406">
        <v>15000000</v>
      </c>
      <c r="Q535" s="403" t="s">
        <v>641</v>
      </c>
    </row>
    <row r="536" spans="1:17" s="394" customFormat="1" ht="45.75" customHeight="1" x14ac:dyDescent="0.25">
      <c r="A536" s="432">
        <v>8</v>
      </c>
      <c r="B536" s="415" t="s">
        <v>809</v>
      </c>
      <c r="C536" s="395" t="s">
        <v>1637</v>
      </c>
      <c r="D536" s="416" t="s">
        <v>1638</v>
      </c>
      <c r="E536" s="433" t="s">
        <v>1639</v>
      </c>
      <c r="F536" s="401" t="s">
        <v>1261</v>
      </c>
      <c r="G536" s="390" t="s">
        <v>49</v>
      </c>
      <c r="H536" s="390" t="s">
        <v>49</v>
      </c>
      <c r="I536" s="390" t="s">
        <v>49</v>
      </c>
      <c r="J536" s="390" t="s">
        <v>49</v>
      </c>
      <c r="K536" s="390" t="s">
        <v>49</v>
      </c>
      <c r="L536" s="437" t="s">
        <v>16</v>
      </c>
      <c r="M536" s="392" t="s">
        <v>806</v>
      </c>
      <c r="N536" s="450"/>
      <c r="O536" s="392"/>
      <c r="P536" s="392">
        <v>7500000</v>
      </c>
      <c r="Q536" s="414" t="s">
        <v>1432</v>
      </c>
    </row>
    <row r="537" spans="1:17" s="394" customFormat="1" ht="51" customHeight="1" x14ac:dyDescent="0.25">
      <c r="A537" s="432">
        <f t="shared" si="1"/>
        <v>9</v>
      </c>
      <c r="B537" s="453" t="s">
        <v>801</v>
      </c>
      <c r="C537" s="395" t="s">
        <v>1233</v>
      </c>
      <c r="D537" s="428" t="s">
        <v>1640</v>
      </c>
      <c r="E537" s="388" t="s">
        <v>1641</v>
      </c>
      <c r="F537" s="388" t="s">
        <v>1642</v>
      </c>
      <c r="G537" s="390" t="s">
        <v>49</v>
      </c>
      <c r="H537" s="390" t="s">
        <v>49</v>
      </c>
      <c r="I537" s="390" t="s">
        <v>49</v>
      </c>
      <c r="J537" s="390" t="s">
        <v>49</v>
      </c>
      <c r="K537" s="390" t="s">
        <v>49</v>
      </c>
      <c r="L537" s="391" t="s">
        <v>1643</v>
      </c>
      <c r="M537" s="401" t="s">
        <v>1434</v>
      </c>
      <c r="N537" s="420"/>
      <c r="O537" s="436"/>
      <c r="P537" s="420">
        <v>15000000</v>
      </c>
      <c r="Q537" s="414" t="s">
        <v>1432</v>
      </c>
    </row>
    <row r="538" spans="1:17" s="394" customFormat="1" ht="43.5" customHeight="1" x14ac:dyDescent="0.25">
      <c r="A538" s="432">
        <f t="shared" si="1"/>
        <v>10</v>
      </c>
      <c r="B538" s="415" t="s">
        <v>809</v>
      </c>
      <c r="C538" s="395" t="s">
        <v>1637</v>
      </c>
      <c r="D538" s="399" t="s">
        <v>1644</v>
      </c>
      <c r="E538" s="399" t="s">
        <v>1645</v>
      </c>
      <c r="F538" s="389" t="s">
        <v>152</v>
      </c>
      <c r="G538" s="390" t="s">
        <v>49</v>
      </c>
      <c r="H538" s="390" t="s">
        <v>49</v>
      </c>
      <c r="I538" s="390" t="s">
        <v>49</v>
      </c>
      <c r="J538" s="390" t="s">
        <v>49</v>
      </c>
      <c r="K538" s="390" t="s">
        <v>49</v>
      </c>
      <c r="L538" s="448" t="s">
        <v>632</v>
      </c>
      <c r="M538" s="385">
        <v>12</v>
      </c>
      <c r="N538" s="436"/>
      <c r="O538" s="450"/>
      <c r="P538" s="451">
        <v>3000000</v>
      </c>
      <c r="Q538" s="452" t="s">
        <v>1432</v>
      </c>
    </row>
    <row r="539" spans="1:17" s="394" customFormat="1" ht="72.75" customHeight="1" x14ac:dyDescent="0.25">
      <c r="A539" s="432">
        <v>9</v>
      </c>
      <c r="B539" s="405" t="s">
        <v>1646</v>
      </c>
      <c r="C539" s="395" t="s">
        <v>1647</v>
      </c>
      <c r="D539" s="399" t="s">
        <v>1648</v>
      </c>
      <c r="E539" s="399" t="s">
        <v>1649</v>
      </c>
      <c r="F539" s="399" t="s">
        <v>1650</v>
      </c>
      <c r="G539" s="390" t="s">
        <v>49</v>
      </c>
      <c r="H539" s="390" t="s">
        <v>49</v>
      </c>
      <c r="I539" s="390" t="s">
        <v>49</v>
      </c>
      <c r="J539" s="390" t="s">
        <v>49</v>
      </c>
      <c r="K539" s="390" t="s">
        <v>49</v>
      </c>
      <c r="L539" s="400" t="s">
        <v>1594</v>
      </c>
      <c r="M539" s="399" t="s">
        <v>1651</v>
      </c>
      <c r="N539" s="406"/>
      <c r="O539" s="406"/>
      <c r="P539" s="406">
        <v>4000000</v>
      </c>
      <c r="Q539" s="403" t="s">
        <v>1652</v>
      </c>
    </row>
    <row r="540" spans="1:17" s="394" customFormat="1" ht="54.75" customHeight="1" x14ac:dyDescent="0.25">
      <c r="A540" s="432">
        <f t="shared" si="1"/>
        <v>10</v>
      </c>
      <c r="B540" s="405" t="s">
        <v>1653</v>
      </c>
      <c r="C540" s="395" t="s">
        <v>1654</v>
      </c>
      <c r="D540" s="399" t="s">
        <v>1655</v>
      </c>
      <c r="E540" s="399" t="s">
        <v>1649</v>
      </c>
      <c r="F540" s="399" t="s">
        <v>1573</v>
      </c>
      <c r="G540" s="390" t="s">
        <v>49</v>
      </c>
      <c r="H540" s="390" t="s">
        <v>49</v>
      </c>
      <c r="I540" s="390" t="s">
        <v>49</v>
      </c>
      <c r="J540" s="390" t="s">
        <v>49</v>
      </c>
      <c r="K540" s="390" t="s">
        <v>49</v>
      </c>
      <c r="L540" s="400" t="s">
        <v>1656</v>
      </c>
      <c r="M540" s="399" t="s">
        <v>1651</v>
      </c>
      <c r="N540" s="406"/>
      <c r="O540" s="406"/>
      <c r="P540" s="406">
        <v>4000000</v>
      </c>
      <c r="Q540" s="403" t="s">
        <v>1652</v>
      </c>
    </row>
    <row r="541" spans="1:17" s="394" customFormat="1" ht="57.75" customHeight="1" x14ac:dyDescent="0.25">
      <c r="A541" s="432">
        <f t="shared" si="1"/>
        <v>11</v>
      </c>
      <c r="B541" s="405" t="s">
        <v>1657</v>
      </c>
      <c r="C541" s="395" t="s">
        <v>1658</v>
      </c>
      <c r="D541" s="399" t="s">
        <v>1659</v>
      </c>
      <c r="E541" s="399" t="s">
        <v>1660</v>
      </c>
      <c r="F541" s="399" t="s">
        <v>1573</v>
      </c>
      <c r="G541" s="390" t="s">
        <v>49</v>
      </c>
      <c r="H541" s="390" t="s">
        <v>49</v>
      </c>
      <c r="I541" s="390" t="s">
        <v>49</v>
      </c>
      <c r="J541" s="390" t="s">
        <v>49</v>
      </c>
      <c r="K541" s="390" t="s">
        <v>49</v>
      </c>
      <c r="L541" s="400" t="s">
        <v>1661</v>
      </c>
      <c r="M541" s="399" t="s">
        <v>1662</v>
      </c>
      <c r="N541" s="406"/>
      <c r="O541" s="406"/>
      <c r="P541" s="406">
        <v>10000000</v>
      </c>
      <c r="Q541" s="403" t="s">
        <v>1652</v>
      </c>
    </row>
    <row r="542" spans="1:17" s="394" customFormat="1" ht="49.5" customHeight="1" x14ac:dyDescent="0.25">
      <c r="A542" s="432">
        <v>10</v>
      </c>
      <c r="B542" s="454" t="s">
        <v>1438</v>
      </c>
      <c r="C542" s="395" t="s">
        <v>386</v>
      </c>
      <c r="D542" s="399" t="s">
        <v>1663</v>
      </c>
      <c r="E542" s="399" t="s">
        <v>1664</v>
      </c>
      <c r="F542" s="389" t="s">
        <v>152</v>
      </c>
      <c r="G542" s="390" t="s">
        <v>49</v>
      </c>
      <c r="H542" s="390" t="s">
        <v>49</v>
      </c>
      <c r="I542" s="390" t="s">
        <v>49</v>
      </c>
      <c r="J542" s="390" t="s">
        <v>49</v>
      </c>
      <c r="K542" s="390" t="s">
        <v>49</v>
      </c>
      <c r="L542" s="448" t="s">
        <v>632</v>
      </c>
      <c r="M542" s="385">
        <v>2</v>
      </c>
      <c r="N542" s="436"/>
      <c r="O542" s="450"/>
      <c r="P542" s="451">
        <v>17500000</v>
      </c>
      <c r="Q542" s="452" t="s">
        <v>1441</v>
      </c>
    </row>
    <row r="543" spans="1:17" s="394" customFormat="1" ht="30" x14ac:dyDescent="0.25">
      <c r="A543" s="432">
        <f t="shared" si="1"/>
        <v>11</v>
      </c>
      <c r="B543" s="454" t="s">
        <v>1333</v>
      </c>
      <c r="C543" s="395" t="s">
        <v>1665</v>
      </c>
      <c r="D543" s="399" t="s">
        <v>1307</v>
      </c>
      <c r="E543" s="399" t="s">
        <v>1666</v>
      </c>
      <c r="F543" s="389" t="s">
        <v>152</v>
      </c>
      <c r="G543" s="390" t="s">
        <v>49</v>
      </c>
      <c r="H543" s="390" t="s">
        <v>49</v>
      </c>
      <c r="I543" s="390" t="s">
        <v>49</v>
      </c>
      <c r="J543" s="390" t="s">
        <v>49</v>
      </c>
      <c r="K543" s="390" t="s">
        <v>49</v>
      </c>
      <c r="L543" s="448" t="s">
        <v>632</v>
      </c>
      <c r="M543" s="385">
        <v>5</v>
      </c>
      <c r="N543" s="436"/>
      <c r="O543" s="450"/>
      <c r="P543" s="451">
        <v>37500000</v>
      </c>
      <c r="Q543" s="414" t="s">
        <v>1617</v>
      </c>
    </row>
    <row r="544" spans="1:17" s="394" customFormat="1" ht="30" x14ac:dyDescent="0.25">
      <c r="A544" s="432">
        <f t="shared" si="1"/>
        <v>12</v>
      </c>
      <c r="B544" s="454" t="s">
        <v>816</v>
      </c>
      <c r="C544" s="395" t="s">
        <v>1425</v>
      </c>
      <c r="D544" s="428" t="s">
        <v>1667</v>
      </c>
      <c r="E544" s="388" t="s">
        <v>1641</v>
      </c>
      <c r="F544" s="388" t="s">
        <v>1642</v>
      </c>
      <c r="G544" s="390" t="s">
        <v>49</v>
      </c>
      <c r="H544" s="390" t="s">
        <v>49</v>
      </c>
      <c r="I544" s="390" t="s">
        <v>49</v>
      </c>
      <c r="J544" s="390" t="s">
        <v>49</v>
      </c>
      <c r="K544" s="390" t="s">
        <v>49</v>
      </c>
      <c r="L544" s="391" t="s">
        <v>1643</v>
      </c>
      <c r="M544" s="401" t="s">
        <v>1668</v>
      </c>
      <c r="N544" s="420"/>
      <c r="O544" s="436"/>
      <c r="P544" s="420">
        <v>15000000</v>
      </c>
      <c r="Q544" s="414" t="s">
        <v>1669</v>
      </c>
    </row>
    <row r="545" spans="1:17" s="394" customFormat="1" ht="30" x14ac:dyDescent="0.25">
      <c r="A545" s="432">
        <v>11</v>
      </c>
      <c r="B545" s="453" t="s">
        <v>801</v>
      </c>
      <c r="C545" s="395" t="s">
        <v>1233</v>
      </c>
      <c r="D545" s="428" t="s">
        <v>1670</v>
      </c>
      <c r="E545" s="388" t="s">
        <v>1641</v>
      </c>
      <c r="F545" s="388" t="s">
        <v>1642</v>
      </c>
      <c r="G545" s="390" t="s">
        <v>49</v>
      </c>
      <c r="H545" s="390" t="s">
        <v>49</v>
      </c>
      <c r="I545" s="390" t="s">
        <v>49</v>
      </c>
      <c r="J545" s="390" t="s">
        <v>49</v>
      </c>
      <c r="K545" s="390" t="s">
        <v>49</v>
      </c>
      <c r="L545" s="391" t="s">
        <v>1643</v>
      </c>
      <c r="M545" s="401" t="s">
        <v>1668</v>
      </c>
      <c r="N545" s="420"/>
      <c r="O545" s="436"/>
      <c r="P545" s="420">
        <v>15000000</v>
      </c>
      <c r="Q545" s="414" t="s">
        <v>1669</v>
      </c>
    </row>
    <row r="546" spans="1:17" s="394" customFormat="1" ht="30" x14ac:dyDescent="0.25">
      <c r="A546" s="432">
        <f t="shared" si="1"/>
        <v>12</v>
      </c>
      <c r="B546" s="453" t="s">
        <v>801</v>
      </c>
      <c r="C546" s="395" t="s">
        <v>1233</v>
      </c>
      <c r="D546" s="428" t="s">
        <v>1671</v>
      </c>
      <c r="E546" s="388" t="s">
        <v>1641</v>
      </c>
      <c r="F546" s="388" t="s">
        <v>1642</v>
      </c>
      <c r="G546" s="390" t="s">
        <v>49</v>
      </c>
      <c r="H546" s="390" t="s">
        <v>49</v>
      </c>
      <c r="I546" s="390" t="s">
        <v>49</v>
      </c>
      <c r="J546" s="390" t="s">
        <v>49</v>
      </c>
      <c r="K546" s="390" t="s">
        <v>49</v>
      </c>
      <c r="L546" s="391" t="s">
        <v>1643</v>
      </c>
      <c r="M546" s="401" t="s">
        <v>1668</v>
      </c>
      <c r="N546" s="420"/>
      <c r="O546" s="436"/>
      <c r="P546" s="420">
        <v>15000000</v>
      </c>
      <c r="Q546" s="414" t="s">
        <v>1669</v>
      </c>
    </row>
    <row r="547" spans="1:17" s="422" customFormat="1" ht="30" x14ac:dyDescent="0.25">
      <c r="A547" s="432">
        <f t="shared" si="1"/>
        <v>13</v>
      </c>
      <c r="B547" s="453" t="s">
        <v>801</v>
      </c>
      <c r="C547" s="395" t="s">
        <v>1233</v>
      </c>
      <c r="D547" s="428" t="s">
        <v>1672</v>
      </c>
      <c r="E547" s="388" t="s">
        <v>1641</v>
      </c>
      <c r="F547" s="388" t="s">
        <v>1642</v>
      </c>
      <c r="G547" s="390" t="s">
        <v>49</v>
      </c>
      <c r="H547" s="390" t="s">
        <v>49</v>
      </c>
      <c r="I547" s="390" t="s">
        <v>49</v>
      </c>
      <c r="J547" s="390" t="s">
        <v>49</v>
      </c>
      <c r="K547" s="390" t="s">
        <v>49</v>
      </c>
      <c r="L547" s="391" t="s">
        <v>1643</v>
      </c>
      <c r="M547" s="401" t="s">
        <v>1668</v>
      </c>
      <c r="N547" s="420"/>
      <c r="O547" s="436"/>
      <c r="P547" s="420">
        <v>15000000</v>
      </c>
      <c r="Q547" s="414" t="s">
        <v>1669</v>
      </c>
    </row>
    <row r="548" spans="1:17" s="422" customFormat="1" ht="30" x14ac:dyDescent="0.25">
      <c r="A548" s="432">
        <v>12</v>
      </c>
      <c r="B548" s="453" t="s">
        <v>801</v>
      </c>
      <c r="C548" s="395" t="s">
        <v>1233</v>
      </c>
      <c r="D548" s="428" t="s">
        <v>1673</v>
      </c>
      <c r="E548" s="388" t="s">
        <v>1641</v>
      </c>
      <c r="F548" s="388" t="s">
        <v>1642</v>
      </c>
      <c r="G548" s="390" t="s">
        <v>49</v>
      </c>
      <c r="H548" s="390" t="s">
        <v>49</v>
      </c>
      <c r="I548" s="390" t="s">
        <v>49</v>
      </c>
      <c r="J548" s="390" t="s">
        <v>49</v>
      </c>
      <c r="K548" s="390" t="s">
        <v>49</v>
      </c>
      <c r="L548" s="391" t="s">
        <v>1643</v>
      </c>
      <c r="M548" s="401" t="s">
        <v>1668</v>
      </c>
      <c r="N548" s="420"/>
      <c r="O548" s="436"/>
      <c r="P548" s="420">
        <v>15000000</v>
      </c>
      <c r="Q548" s="414" t="s">
        <v>1669</v>
      </c>
    </row>
    <row r="549" spans="1:17" s="394" customFormat="1" ht="46.5" customHeight="1" x14ac:dyDescent="0.25">
      <c r="A549" s="432">
        <f t="shared" si="1"/>
        <v>13</v>
      </c>
      <c r="B549" s="454" t="s">
        <v>816</v>
      </c>
      <c r="C549" s="395" t="s">
        <v>1425</v>
      </c>
      <c r="D549" s="399" t="s">
        <v>1674</v>
      </c>
      <c r="E549" s="399" t="s">
        <v>1645</v>
      </c>
      <c r="F549" s="389" t="s">
        <v>152</v>
      </c>
      <c r="G549" s="390" t="s">
        <v>49</v>
      </c>
      <c r="H549" s="390" t="s">
        <v>49</v>
      </c>
      <c r="I549" s="390" t="s">
        <v>49</v>
      </c>
      <c r="J549" s="390" t="s">
        <v>49</v>
      </c>
      <c r="K549" s="390" t="s">
        <v>49</v>
      </c>
      <c r="L549" s="448" t="s">
        <v>632</v>
      </c>
      <c r="M549" s="385">
        <v>12</v>
      </c>
      <c r="N549" s="436"/>
      <c r="O549" s="450"/>
      <c r="P549" s="451">
        <v>3000000</v>
      </c>
      <c r="Q549" s="452" t="s">
        <v>1669</v>
      </c>
    </row>
    <row r="550" spans="1:17" s="394" customFormat="1" ht="53.25" customHeight="1" x14ac:dyDescent="0.25">
      <c r="A550" s="432">
        <f t="shared" si="1"/>
        <v>14</v>
      </c>
      <c r="B550" s="453" t="s">
        <v>801</v>
      </c>
      <c r="C550" s="387" t="s">
        <v>1675</v>
      </c>
      <c r="D550" s="399" t="s">
        <v>1676</v>
      </c>
      <c r="E550" s="399" t="s">
        <v>1645</v>
      </c>
      <c r="F550" s="389" t="s">
        <v>152</v>
      </c>
      <c r="G550" s="390" t="s">
        <v>49</v>
      </c>
      <c r="H550" s="390" t="s">
        <v>49</v>
      </c>
      <c r="I550" s="390" t="s">
        <v>49</v>
      </c>
      <c r="J550" s="390" t="s">
        <v>49</v>
      </c>
      <c r="K550" s="390" t="s">
        <v>49</v>
      </c>
      <c r="L550" s="448" t="s">
        <v>632</v>
      </c>
      <c r="M550" s="385">
        <v>12</v>
      </c>
      <c r="N550" s="436"/>
      <c r="O550" s="450"/>
      <c r="P550" s="451">
        <v>3000000</v>
      </c>
      <c r="Q550" s="452" t="s">
        <v>1669</v>
      </c>
    </row>
    <row r="551" spans="1:17" s="394" customFormat="1" ht="45" x14ac:dyDescent="0.25">
      <c r="A551" s="432">
        <v>13</v>
      </c>
      <c r="B551" s="453" t="s">
        <v>801</v>
      </c>
      <c r="C551" s="387" t="s">
        <v>1677</v>
      </c>
      <c r="D551" s="399" t="s">
        <v>1678</v>
      </c>
      <c r="E551" s="399" t="s">
        <v>1645</v>
      </c>
      <c r="F551" s="389" t="s">
        <v>152</v>
      </c>
      <c r="G551" s="390" t="s">
        <v>49</v>
      </c>
      <c r="H551" s="390" t="s">
        <v>49</v>
      </c>
      <c r="I551" s="390" t="s">
        <v>49</v>
      </c>
      <c r="J551" s="390" t="s">
        <v>49</v>
      </c>
      <c r="K551" s="390" t="s">
        <v>49</v>
      </c>
      <c r="L551" s="448" t="s">
        <v>632</v>
      </c>
      <c r="M551" s="385">
        <v>12</v>
      </c>
      <c r="N551" s="436"/>
      <c r="O551" s="450"/>
      <c r="P551" s="451">
        <v>3000000</v>
      </c>
      <c r="Q551" s="452" t="s">
        <v>1669</v>
      </c>
    </row>
    <row r="552" spans="1:17" s="394" customFormat="1" ht="45" x14ac:dyDescent="0.25">
      <c r="A552" s="432">
        <f t="shared" si="1"/>
        <v>14</v>
      </c>
      <c r="B552" s="453" t="s">
        <v>801</v>
      </c>
      <c r="C552" s="395" t="s">
        <v>1677</v>
      </c>
      <c r="D552" s="399" t="s">
        <v>1679</v>
      </c>
      <c r="E552" s="399" t="s">
        <v>1645</v>
      </c>
      <c r="F552" s="389" t="s">
        <v>152</v>
      </c>
      <c r="G552" s="390" t="s">
        <v>49</v>
      </c>
      <c r="H552" s="390" t="s">
        <v>49</v>
      </c>
      <c r="I552" s="390" t="s">
        <v>49</v>
      </c>
      <c r="J552" s="390" t="s">
        <v>49</v>
      </c>
      <c r="K552" s="390" t="s">
        <v>49</v>
      </c>
      <c r="L552" s="448" t="s">
        <v>632</v>
      </c>
      <c r="M552" s="385">
        <v>12</v>
      </c>
      <c r="N552" s="436"/>
      <c r="O552" s="450"/>
      <c r="P552" s="451">
        <v>3000000</v>
      </c>
      <c r="Q552" s="452" t="s">
        <v>1669</v>
      </c>
    </row>
    <row r="553" spans="1:17" s="394" customFormat="1" ht="48" customHeight="1" x14ac:dyDescent="0.25">
      <c r="A553" s="432">
        <f t="shared" si="1"/>
        <v>15</v>
      </c>
      <c r="B553" s="453" t="s">
        <v>801</v>
      </c>
      <c r="C553" s="395" t="s">
        <v>1677</v>
      </c>
      <c r="D553" s="399" t="s">
        <v>1680</v>
      </c>
      <c r="E553" s="399" t="s">
        <v>1645</v>
      </c>
      <c r="F553" s="389" t="s">
        <v>152</v>
      </c>
      <c r="G553" s="390" t="s">
        <v>49</v>
      </c>
      <c r="H553" s="390" t="s">
        <v>49</v>
      </c>
      <c r="I553" s="390" t="s">
        <v>49</v>
      </c>
      <c r="J553" s="390" t="s">
        <v>49</v>
      </c>
      <c r="K553" s="390" t="s">
        <v>49</v>
      </c>
      <c r="L553" s="448" t="s">
        <v>632</v>
      </c>
      <c r="M553" s="385">
        <v>12</v>
      </c>
      <c r="N553" s="436"/>
      <c r="O553" s="450"/>
      <c r="P553" s="451">
        <v>3000000</v>
      </c>
      <c r="Q553" s="452" t="s">
        <v>1669</v>
      </c>
    </row>
    <row r="554" spans="1:17" s="394" customFormat="1" ht="60" x14ac:dyDescent="0.25">
      <c r="A554" s="432">
        <v>14</v>
      </c>
      <c r="B554" s="447" t="s">
        <v>1681</v>
      </c>
      <c r="C554" s="395" t="s">
        <v>1682</v>
      </c>
      <c r="D554" s="399" t="s">
        <v>1683</v>
      </c>
      <c r="E554" s="399" t="s">
        <v>1684</v>
      </c>
      <c r="F554" s="389" t="s">
        <v>152</v>
      </c>
      <c r="G554" s="390" t="s">
        <v>49</v>
      </c>
      <c r="H554" s="390" t="s">
        <v>49</v>
      </c>
      <c r="I554" s="390" t="s">
        <v>49</v>
      </c>
      <c r="J554" s="390" t="s">
        <v>49</v>
      </c>
      <c r="K554" s="390" t="s">
        <v>49</v>
      </c>
      <c r="L554" s="448" t="s">
        <v>632</v>
      </c>
      <c r="M554" s="449">
        <v>1</v>
      </c>
      <c r="N554" s="436"/>
      <c r="O554" s="450"/>
      <c r="P554" s="451">
        <v>6000000</v>
      </c>
      <c r="Q554" s="452" t="s">
        <v>1669</v>
      </c>
    </row>
    <row r="555" spans="1:17" s="394" customFormat="1" ht="75" x14ac:dyDescent="0.25">
      <c r="A555" s="432">
        <f t="shared" si="1"/>
        <v>15</v>
      </c>
      <c r="B555" s="447" t="s">
        <v>1685</v>
      </c>
      <c r="C555" s="395" t="s">
        <v>1686</v>
      </c>
      <c r="D555" s="399" t="s">
        <v>1687</v>
      </c>
      <c r="E555" s="399" t="s">
        <v>1688</v>
      </c>
      <c r="F555" s="389" t="s">
        <v>152</v>
      </c>
      <c r="G555" s="390" t="s">
        <v>49</v>
      </c>
      <c r="H555" s="390" t="s">
        <v>49</v>
      </c>
      <c r="I555" s="390" t="s">
        <v>49</v>
      </c>
      <c r="J555" s="390" t="s">
        <v>49</v>
      </c>
      <c r="K555" s="390" t="s">
        <v>49</v>
      </c>
      <c r="L555" s="448" t="s">
        <v>632</v>
      </c>
      <c r="M555" s="449">
        <v>1</v>
      </c>
      <c r="N555" s="436"/>
      <c r="O555" s="450"/>
      <c r="P555" s="451">
        <v>6000000</v>
      </c>
      <c r="Q555" s="452" t="s">
        <v>1669</v>
      </c>
    </row>
    <row r="556" spans="1:17" s="394" customFormat="1" ht="30" x14ac:dyDescent="0.25">
      <c r="A556" s="432">
        <f t="shared" si="1"/>
        <v>16</v>
      </c>
      <c r="B556" s="454" t="s">
        <v>795</v>
      </c>
      <c r="C556" s="395" t="s">
        <v>1447</v>
      </c>
      <c r="D556" s="400" t="s">
        <v>1689</v>
      </c>
      <c r="E556" s="399" t="s">
        <v>1690</v>
      </c>
      <c r="F556" s="401" t="s">
        <v>1261</v>
      </c>
      <c r="G556" s="390" t="s">
        <v>49</v>
      </c>
      <c r="H556" s="390" t="s">
        <v>49</v>
      </c>
      <c r="I556" s="390" t="s">
        <v>49</v>
      </c>
      <c r="J556" s="390" t="s">
        <v>49</v>
      </c>
      <c r="K556" s="390" t="s">
        <v>49</v>
      </c>
      <c r="L556" s="416" t="s">
        <v>16</v>
      </c>
      <c r="M556" s="401" t="s">
        <v>1691</v>
      </c>
      <c r="N556" s="436"/>
      <c r="O556" s="450"/>
      <c r="P556" s="436">
        <v>25000000</v>
      </c>
      <c r="Q556" s="414" t="s">
        <v>1692</v>
      </c>
    </row>
    <row r="557" spans="1:17" s="394" customFormat="1" ht="45" x14ac:dyDescent="0.25">
      <c r="A557" s="432">
        <v>15</v>
      </c>
      <c r="B557" s="405" t="s">
        <v>1632</v>
      </c>
      <c r="C557" s="395" t="s">
        <v>1633</v>
      </c>
      <c r="D557" s="399" t="s">
        <v>1693</v>
      </c>
      <c r="E557" s="399" t="s">
        <v>1694</v>
      </c>
      <c r="F557" s="389" t="s">
        <v>152</v>
      </c>
      <c r="G557" s="390" t="s">
        <v>49</v>
      </c>
      <c r="H557" s="390" t="s">
        <v>49</v>
      </c>
      <c r="I557" s="390" t="s">
        <v>49</v>
      </c>
      <c r="J557" s="390" t="s">
        <v>49</v>
      </c>
      <c r="K557" s="390" t="s">
        <v>49</v>
      </c>
      <c r="L557" s="448" t="s">
        <v>632</v>
      </c>
      <c r="M557" s="385">
        <v>1</v>
      </c>
      <c r="N557" s="436"/>
      <c r="O557" s="450"/>
      <c r="P557" s="451">
        <v>6000000</v>
      </c>
      <c r="Q557" s="452" t="s">
        <v>1977</v>
      </c>
    </row>
    <row r="558" spans="1:17" s="394" customFormat="1" ht="45" x14ac:dyDescent="0.25">
      <c r="A558" s="432">
        <f t="shared" si="1"/>
        <v>16</v>
      </c>
      <c r="B558" s="405" t="s">
        <v>1695</v>
      </c>
      <c r="C558" s="395" t="s">
        <v>578</v>
      </c>
      <c r="D558" s="389" t="s">
        <v>1696</v>
      </c>
      <c r="E558" s="389" t="s">
        <v>1697</v>
      </c>
      <c r="F558" s="389" t="s">
        <v>1698</v>
      </c>
      <c r="G558" s="390" t="s">
        <v>49</v>
      </c>
      <c r="H558" s="390" t="s">
        <v>49</v>
      </c>
      <c r="I558" s="390" t="s">
        <v>49</v>
      </c>
      <c r="J558" s="390" t="s">
        <v>49</v>
      </c>
      <c r="K558" s="390" t="s">
        <v>49</v>
      </c>
      <c r="L558" s="391" t="s">
        <v>1699</v>
      </c>
      <c r="M558" s="389" t="s">
        <v>401</v>
      </c>
      <c r="N558" s="397"/>
      <c r="O558" s="392"/>
      <c r="P558" s="392">
        <v>5000000</v>
      </c>
      <c r="Q558" s="414" t="s">
        <v>1419</v>
      </c>
    </row>
    <row r="559" spans="1:17" s="394" customFormat="1" ht="36" customHeight="1" x14ac:dyDescent="0.25">
      <c r="A559" s="432">
        <f t="shared" si="1"/>
        <v>17</v>
      </c>
      <c r="B559" s="405" t="s">
        <v>955</v>
      </c>
      <c r="C559" s="395" t="s">
        <v>1700</v>
      </c>
      <c r="D559" s="388" t="s">
        <v>1701</v>
      </c>
      <c r="E559" s="388" t="s">
        <v>1702</v>
      </c>
      <c r="F559" s="388" t="s">
        <v>152</v>
      </c>
      <c r="G559" s="390" t="s">
        <v>49</v>
      </c>
      <c r="H559" s="390" t="s">
        <v>49</v>
      </c>
      <c r="I559" s="390" t="s">
        <v>49</v>
      </c>
      <c r="J559" s="390" t="s">
        <v>49</v>
      </c>
      <c r="K559" s="390" t="s">
        <v>49</v>
      </c>
      <c r="L559" s="400" t="s">
        <v>1703</v>
      </c>
      <c r="M559" s="388" t="s">
        <v>1704</v>
      </c>
      <c r="N559" s="392"/>
      <c r="O559" s="397"/>
      <c r="P559" s="392">
        <v>16000000</v>
      </c>
      <c r="Q559" s="414" t="s">
        <v>1419</v>
      </c>
    </row>
    <row r="560" spans="1:17" s="394" customFormat="1" ht="51" customHeight="1" x14ac:dyDescent="0.25">
      <c r="A560" s="432">
        <v>16</v>
      </c>
      <c r="B560" s="405" t="s">
        <v>955</v>
      </c>
      <c r="C560" s="395" t="s">
        <v>1700</v>
      </c>
      <c r="D560" s="389" t="s">
        <v>1705</v>
      </c>
      <c r="E560" s="388" t="s">
        <v>1706</v>
      </c>
      <c r="F560" s="388" t="s">
        <v>152</v>
      </c>
      <c r="G560" s="390" t="s">
        <v>49</v>
      </c>
      <c r="H560" s="390" t="s">
        <v>49</v>
      </c>
      <c r="I560" s="390" t="s">
        <v>49</v>
      </c>
      <c r="J560" s="390" t="s">
        <v>49</v>
      </c>
      <c r="K560" s="390" t="s">
        <v>49</v>
      </c>
      <c r="L560" s="391" t="s">
        <v>1707</v>
      </c>
      <c r="M560" s="389" t="s">
        <v>1205</v>
      </c>
      <c r="N560" s="417"/>
      <c r="O560" s="392"/>
      <c r="P560" s="392">
        <v>3900000</v>
      </c>
      <c r="Q560" s="414" t="s">
        <v>1419</v>
      </c>
    </row>
    <row r="561" spans="1:17" s="394" customFormat="1" ht="39.75" customHeight="1" x14ac:dyDescent="0.25">
      <c r="A561" s="432">
        <f t="shared" si="1"/>
        <v>17</v>
      </c>
      <c r="B561" s="447" t="s">
        <v>1315</v>
      </c>
      <c r="C561" s="395" t="s">
        <v>1708</v>
      </c>
      <c r="D561" s="399" t="s">
        <v>1709</v>
      </c>
      <c r="E561" s="399" t="s">
        <v>1710</v>
      </c>
      <c r="F561" s="389" t="s">
        <v>152</v>
      </c>
      <c r="G561" s="390" t="s">
        <v>49</v>
      </c>
      <c r="H561" s="390" t="s">
        <v>49</v>
      </c>
      <c r="I561" s="390" t="s">
        <v>49</v>
      </c>
      <c r="J561" s="390" t="s">
        <v>49</v>
      </c>
      <c r="K561" s="390" t="s">
        <v>49</v>
      </c>
      <c r="L561" s="448" t="s">
        <v>632</v>
      </c>
      <c r="M561" s="449">
        <v>1</v>
      </c>
      <c r="N561" s="436"/>
      <c r="O561" s="450"/>
      <c r="P561" s="451">
        <v>6000000</v>
      </c>
      <c r="Q561" s="452" t="s">
        <v>1976</v>
      </c>
    </row>
    <row r="562" spans="1:17" s="394" customFormat="1" ht="45" x14ac:dyDescent="0.25">
      <c r="A562" s="432">
        <f t="shared" si="1"/>
        <v>18</v>
      </c>
      <c r="B562" s="447" t="s">
        <v>1711</v>
      </c>
      <c r="C562" s="395" t="s">
        <v>1712</v>
      </c>
      <c r="D562" s="399" t="s">
        <v>1713</v>
      </c>
      <c r="E562" s="399" t="s">
        <v>1710</v>
      </c>
      <c r="F562" s="389" t="s">
        <v>152</v>
      </c>
      <c r="G562" s="390" t="s">
        <v>49</v>
      </c>
      <c r="H562" s="390" t="s">
        <v>49</v>
      </c>
      <c r="I562" s="390" t="s">
        <v>49</v>
      </c>
      <c r="J562" s="390" t="s">
        <v>49</v>
      </c>
      <c r="K562" s="390" t="s">
        <v>49</v>
      </c>
      <c r="L562" s="448" t="s">
        <v>632</v>
      </c>
      <c r="M562" s="449">
        <v>1</v>
      </c>
      <c r="N562" s="436"/>
      <c r="O562" s="450"/>
      <c r="P562" s="451">
        <v>6000000</v>
      </c>
      <c r="Q562" s="452" t="s">
        <v>1976</v>
      </c>
    </row>
    <row r="563" spans="1:17" s="394" customFormat="1" ht="45" x14ac:dyDescent="0.25">
      <c r="A563" s="432">
        <v>17</v>
      </c>
      <c r="B563" s="447" t="s">
        <v>1711</v>
      </c>
      <c r="C563" s="395" t="s">
        <v>1712</v>
      </c>
      <c r="D563" s="399" t="s">
        <v>1714</v>
      </c>
      <c r="E563" s="399" t="s">
        <v>1710</v>
      </c>
      <c r="F563" s="389" t="s">
        <v>152</v>
      </c>
      <c r="G563" s="390" t="s">
        <v>49</v>
      </c>
      <c r="H563" s="390" t="s">
        <v>49</v>
      </c>
      <c r="I563" s="390" t="s">
        <v>49</v>
      </c>
      <c r="J563" s="390" t="s">
        <v>49</v>
      </c>
      <c r="K563" s="390" t="s">
        <v>49</v>
      </c>
      <c r="L563" s="448" t="s">
        <v>632</v>
      </c>
      <c r="M563" s="449">
        <v>1</v>
      </c>
      <c r="N563" s="436"/>
      <c r="O563" s="450"/>
      <c r="P563" s="451">
        <v>6000000</v>
      </c>
      <c r="Q563" s="452" t="s">
        <v>1976</v>
      </c>
    </row>
    <row r="564" spans="1:17" s="394" customFormat="1" ht="45" x14ac:dyDescent="0.25">
      <c r="A564" s="432">
        <f t="shared" si="1"/>
        <v>18</v>
      </c>
      <c r="B564" s="405" t="s">
        <v>1715</v>
      </c>
      <c r="C564" s="395" t="s">
        <v>1716</v>
      </c>
      <c r="D564" s="388" t="s">
        <v>1717</v>
      </c>
      <c r="E564" s="388" t="s">
        <v>1718</v>
      </c>
      <c r="F564" s="388" t="s">
        <v>1261</v>
      </c>
      <c r="G564" s="385" t="s">
        <v>49</v>
      </c>
      <c r="H564" s="388"/>
      <c r="I564" s="388"/>
      <c r="J564" s="385" t="s">
        <v>49</v>
      </c>
      <c r="K564" s="385" t="s">
        <v>49</v>
      </c>
      <c r="L564" s="391" t="s">
        <v>1478</v>
      </c>
      <c r="M564" s="389" t="s">
        <v>1205</v>
      </c>
      <c r="N564" s="397"/>
      <c r="O564" s="392"/>
      <c r="P564" s="392">
        <v>3000000</v>
      </c>
      <c r="Q564" s="446" t="s">
        <v>1719</v>
      </c>
    </row>
    <row r="565" spans="1:17" s="394" customFormat="1" ht="45" x14ac:dyDescent="0.25">
      <c r="A565" s="432">
        <f t="shared" si="1"/>
        <v>19</v>
      </c>
      <c r="B565" s="405" t="s">
        <v>1720</v>
      </c>
      <c r="C565" s="395" t="s">
        <v>1721</v>
      </c>
      <c r="D565" s="399" t="s">
        <v>1722</v>
      </c>
      <c r="E565" s="399" t="s">
        <v>1723</v>
      </c>
      <c r="F565" s="399" t="s">
        <v>1573</v>
      </c>
      <c r="G565" s="390" t="s">
        <v>49</v>
      </c>
      <c r="H565" s="390" t="s">
        <v>49</v>
      </c>
      <c r="I565" s="390" t="s">
        <v>49</v>
      </c>
      <c r="J565" s="390" t="s">
        <v>49</v>
      </c>
      <c r="K565" s="390" t="s">
        <v>49</v>
      </c>
      <c r="L565" s="400" t="s">
        <v>16</v>
      </c>
      <c r="M565" s="399" t="s">
        <v>239</v>
      </c>
      <c r="N565" s="406"/>
      <c r="O565" s="406"/>
      <c r="P565" s="406">
        <v>3000000</v>
      </c>
      <c r="Q565" s="446" t="s">
        <v>1719</v>
      </c>
    </row>
    <row r="566" spans="1:17" s="394" customFormat="1" ht="45" x14ac:dyDescent="0.25">
      <c r="A566" s="432">
        <v>18</v>
      </c>
      <c r="B566" s="447" t="s">
        <v>1003</v>
      </c>
      <c r="C566" s="395" t="s">
        <v>1004</v>
      </c>
      <c r="D566" s="399" t="s">
        <v>1724</v>
      </c>
      <c r="E566" s="399" t="s">
        <v>1725</v>
      </c>
      <c r="F566" s="389" t="s">
        <v>152</v>
      </c>
      <c r="G566" s="390" t="s">
        <v>49</v>
      </c>
      <c r="H566" s="390" t="s">
        <v>49</v>
      </c>
      <c r="I566" s="390" t="s">
        <v>49</v>
      </c>
      <c r="J566" s="390" t="s">
        <v>49</v>
      </c>
      <c r="K566" s="390" t="s">
        <v>49</v>
      </c>
      <c r="L566" s="448" t="s">
        <v>632</v>
      </c>
      <c r="M566" s="449">
        <v>150</v>
      </c>
      <c r="N566" s="436"/>
      <c r="O566" s="450"/>
      <c r="P566" s="451">
        <v>7500000</v>
      </c>
      <c r="Q566" s="452" t="s">
        <v>1719</v>
      </c>
    </row>
    <row r="567" spans="1:17" s="394" customFormat="1" ht="45" x14ac:dyDescent="0.25">
      <c r="A567" s="432">
        <f t="shared" si="1"/>
        <v>19</v>
      </c>
      <c r="B567" s="405" t="s">
        <v>1227</v>
      </c>
      <c r="C567" s="395" t="s">
        <v>1726</v>
      </c>
      <c r="D567" s="388" t="s">
        <v>1727</v>
      </c>
      <c r="E567" s="388" t="s">
        <v>1728</v>
      </c>
      <c r="F567" s="389" t="s">
        <v>152</v>
      </c>
      <c r="G567" s="419" t="s">
        <v>49</v>
      </c>
      <c r="H567" s="419" t="s">
        <v>49</v>
      </c>
      <c r="I567" s="419" t="s">
        <v>49</v>
      </c>
      <c r="J567" s="419" t="s">
        <v>49</v>
      </c>
      <c r="K567" s="419"/>
      <c r="L567" s="391" t="s">
        <v>16</v>
      </c>
      <c r="M567" s="388" t="s">
        <v>106</v>
      </c>
      <c r="N567" s="392"/>
      <c r="O567" s="392"/>
      <c r="P567" s="402">
        <v>10000000</v>
      </c>
      <c r="Q567" s="393" t="s">
        <v>1729</v>
      </c>
    </row>
    <row r="568" spans="1:17" s="394" customFormat="1" ht="30" x14ac:dyDescent="0.25">
      <c r="A568" s="432">
        <f t="shared" si="1"/>
        <v>20</v>
      </c>
      <c r="B568" s="405" t="s">
        <v>531</v>
      </c>
      <c r="C568" s="395" t="s">
        <v>1677</v>
      </c>
      <c r="D568" s="388" t="s">
        <v>1730</v>
      </c>
      <c r="E568" s="389" t="s">
        <v>1731</v>
      </c>
      <c r="F568" s="389" t="s">
        <v>152</v>
      </c>
      <c r="G568" s="385" t="s">
        <v>49</v>
      </c>
      <c r="H568" s="385" t="s">
        <v>49</v>
      </c>
      <c r="I568" s="385" t="s">
        <v>49</v>
      </c>
      <c r="J568" s="385" t="s">
        <v>49</v>
      </c>
      <c r="K568" s="385" t="s">
        <v>49</v>
      </c>
      <c r="L568" s="391" t="s">
        <v>16</v>
      </c>
      <c r="M568" s="388" t="s">
        <v>1732</v>
      </c>
      <c r="N568" s="397"/>
      <c r="O568" s="392"/>
      <c r="P568" s="402">
        <v>10000000</v>
      </c>
      <c r="Q568" s="393" t="s">
        <v>1729</v>
      </c>
    </row>
    <row r="569" spans="1:17" s="455" customFormat="1" ht="45" x14ac:dyDescent="0.25">
      <c r="A569" s="432">
        <v>19</v>
      </c>
      <c r="B569" s="453" t="s">
        <v>1733</v>
      </c>
      <c r="C569" s="395" t="s">
        <v>1734</v>
      </c>
      <c r="D569" s="399" t="s">
        <v>1735</v>
      </c>
      <c r="E569" s="399" t="s">
        <v>1736</v>
      </c>
      <c r="F569" s="389" t="s">
        <v>152</v>
      </c>
      <c r="G569" s="390" t="s">
        <v>49</v>
      </c>
      <c r="H569" s="390" t="s">
        <v>49</v>
      </c>
      <c r="I569" s="390" t="s">
        <v>49</v>
      </c>
      <c r="J569" s="390" t="s">
        <v>49</v>
      </c>
      <c r="K569" s="390" t="s">
        <v>49</v>
      </c>
      <c r="L569" s="448" t="s">
        <v>632</v>
      </c>
      <c r="M569" s="385">
        <v>1</v>
      </c>
      <c r="N569" s="436"/>
      <c r="O569" s="450"/>
      <c r="P569" s="451">
        <v>6000000</v>
      </c>
      <c r="Q569" s="452" t="s">
        <v>1729</v>
      </c>
    </row>
    <row r="570" spans="1:17" s="394" customFormat="1" ht="60" x14ac:dyDescent="0.25">
      <c r="A570" s="432">
        <f t="shared" si="1"/>
        <v>20</v>
      </c>
      <c r="B570" s="405" t="s">
        <v>1361</v>
      </c>
      <c r="C570" s="395" t="s">
        <v>1737</v>
      </c>
      <c r="D570" s="399" t="s">
        <v>1738</v>
      </c>
      <c r="E570" s="399" t="s">
        <v>1739</v>
      </c>
      <c r="F570" s="389" t="s">
        <v>152</v>
      </c>
      <c r="G570" s="390" t="s">
        <v>49</v>
      </c>
      <c r="H570" s="390" t="s">
        <v>49</v>
      </c>
      <c r="I570" s="390" t="s">
        <v>49</v>
      </c>
      <c r="J570" s="390" t="s">
        <v>49</v>
      </c>
      <c r="K570" s="390" t="s">
        <v>49</v>
      </c>
      <c r="L570" s="448" t="s">
        <v>632</v>
      </c>
      <c r="M570" s="449">
        <v>100</v>
      </c>
      <c r="N570" s="436"/>
      <c r="O570" s="450"/>
      <c r="P570" s="451">
        <v>5000000</v>
      </c>
      <c r="Q570" s="452" t="s">
        <v>1073</v>
      </c>
    </row>
    <row r="571" spans="1:17" s="394" customFormat="1" ht="74.25" customHeight="1" x14ac:dyDescent="0.25">
      <c r="A571" s="432">
        <f t="shared" si="1"/>
        <v>21</v>
      </c>
      <c r="B571" s="405" t="s">
        <v>1740</v>
      </c>
      <c r="C571" s="395" t="s">
        <v>1741</v>
      </c>
      <c r="D571" s="433" t="s">
        <v>1742</v>
      </c>
      <c r="E571" s="433" t="s">
        <v>1743</v>
      </c>
      <c r="F571" s="433" t="s">
        <v>1744</v>
      </c>
      <c r="G571" s="390" t="s">
        <v>49</v>
      </c>
      <c r="H571" s="390" t="s">
        <v>49</v>
      </c>
      <c r="I571" s="390" t="s">
        <v>49</v>
      </c>
      <c r="J571" s="390" t="s">
        <v>49</v>
      </c>
      <c r="K571" s="390" t="s">
        <v>49</v>
      </c>
      <c r="L571" s="391" t="s">
        <v>1745</v>
      </c>
      <c r="M571" s="388" t="s">
        <v>1746</v>
      </c>
      <c r="N571" s="392"/>
      <c r="O571" s="392"/>
      <c r="P571" s="392">
        <v>3000000</v>
      </c>
      <c r="Q571" s="393" t="s">
        <v>277</v>
      </c>
    </row>
    <row r="572" spans="1:17" s="394" customFormat="1" ht="30" x14ac:dyDescent="0.25">
      <c r="A572" s="432">
        <v>20</v>
      </c>
      <c r="B572" s="453" t="s">
        <v>858</v>
      </c>
      <c r="C572" s="387" t="s">
        <v>1747</v>
      </c>
      <c r="D572" s="399" t="s">
        <v>1748</v>
      </c>
      <c r="E572" s="399" t="s">
        <v>1749</v>
      </c>
      <c r="F572" s="389" t="s">
        <v>152</v>
      </c>
      <c r="G572" s="390" t="s">
        <v>49</v>
      </c>
      <c r="H572" s="390" t="s">
        <v>49</v>
      </c>
      <c r="I572" s="390" t="s">
        <v>49</v>
      </c>
      <c r="J572" s="390" t="s">
        <v>49</v>
      </c>
      <c r="K572" s="390" t="s">
        <v>49</v>
      </c>
      <c r="L572" s="448" t="s">
        <v>632</v>
      </c>
      <c r="M572" s="385">
        <v>1</v>
      </c>
      <c r="N572" s="436"/>
      <c r="O572" s="450"/>
      <c r="P572" s="451">
        <v>6000000</v>
      </c>
      <c r="Q572" s="452" t="s">
        <v>277</v>
      </c>
    </row>
    <row r="573" spans="1:17" s="394" customFormat="1" ht="50.25" customHeight="1" x14ac:dyDescent="0.25">
      <c r="A573" s="432">
        <f t="shared" si="1"/>
        <v>21</v>
      </c>
      <c r="B573" s="453" t="s">
        <v>858</v>
      </c>
      <c r="C573" s="395" t="s">
        <v>1233</v>
      </c>
      <c r="D573" s="399" t="s">
        <v>1750</v>
      </c>
      <c r="E573" s="399" t="s">
        <v>1749</v>
      </c>
      <c r="F573" s="389" t="s">
        <v>152</v>
      </c>
      <c r="G573" s="390" t="s">
        <v>49</v>
      </c>
      <c r="H573" s="390" t="s">
        <v>49</v>
      </c>
      <c r="I573" s="390" t="s">
        <v>49</v>
      </c>
      <c r="J573" s="390" t="s">
        <v>49</v>
      </c>
      <c r="K573" s="390" t="s">
        <v>49</v>
      </c>
      <c r="L573" s="448" t="s">
        <v>632</v>
      </c>
      <c r="M573" s="385">
        <v>1</v>
      </c>
      <c r="N573" s="436"/>
      <c r="O573" s="450"/>
      <c r="P573" s="451">
        <v>6000000</v>
      </c>
      <c r="Q573" s="452" t="s">
        <v>277</v>
      </c>
    </row>
    <row r="574" spans="1:17" s="394" customFormat="1" ht="58.5" customHeight="1" x14ac:dyDescent="0.25">
      <c r="A574" s="432">
        <f t="shared" si="1"/>
        <v>22</v>
      </c>
      <c r="B574" s="447" t="s">
        <v>1751</v>
      </c>
      <c r="C574" s="395" t="s">
        <v>1752</v>
      </c>
      <c r="D574" s="399" t="s">
        <v>1753</v>
      </c>
      <c r="E574" s="399" t="s">
        <v>1754</v>
      </c>
      <c r="F574" s="389" t="s">
        <v>152</v>
      </c>
      <c r="G574" s="390"/>
      <c r="H574" s="390"/>
      <c r="I574" s="390"/>
      <c r="J574" s="390"/>
      <c r="K574" s="390" t="s">
        <v>49</v>
      </c>
      <c r="L574" s="448" t="s">
        <v>632</v>
      </c>
      <c r="M574" s="385">
        <v>1</v>
      </c>
      <c r="N574" s="436"/>
      <c r="O574" s="450"/>
      <c r="P574" s="451">
        <v>6000000</v>
      </c>
      <c r="Q574" s="452" t="s">
        <v>277</v>
      </c>
    </row>
    <row r="575" spans="1:17" s="394" customFormat="1" ht="56.25" customHeight="1" x14ac:dyDescent="0.25">
      <c r="A575" s="432">
        <v>21</v>
      </c>
      <c r="B575" s="447" t="s">
        <v>1751</v>
      </c>
      <c r="C575" s="395" t="s">
        <v>1752</v>
      </c>
      <c r="D575" s="399" t="s">
        <v>1755</v>
      </c>
      <c r="E575" s="399" t="s">
        <v>1754</v>
      </c>
      <c r="F575" s="389" t="s">
        <v>152</v>
      </c>
      <c r="G575" s="390"/>
      <c r="H575" s="390"/>
      <c r="I575" s="390"/>
      <c r="J575" s="390"/>
      <c r="K575" s="390" t="s">
        <v>49</v>
      </c>
      <c r="L575" s="448" t="s">
        <v>16</v>
      </c>
      <c r="M575" s="385">
        <v>100</v>
      </c>
      <c r="N575" s="436"/>
      <c r="O575" s="450"/>
      <c r="P575" s="451">
        <v>5000000</v>
      </c>
      <c r="Q575" s="452" t="s">
        <v>277</v>
      </c>
    </row>
    <row r="576" spans="1:17" s="394" customFormat="1" ht="37.5" customHeight="1" x14ac:dyDescent="0.25">
      <c r="A576" s="432">
        <f t="shared" si="1"/>
        <v>22</v>
      </c>
      <c r="B576" s="405" t="s">
        <v>531</v>
      </c>
      <c r="C576" s="412" t="s">
        <v>1677</v>
      </c>
      <c r="D576" s="399" t="s">
        <v>1756</v>
      </c>
      <c r="E576" s="399" t="s">
        <v>1757</v>
      </c>
      <c r="F576" s="401" t="s">
        <v>1758</v>
      </c>
      <c r="G576" s="390" t="s">
        <v>49</v>
      </c>
      <c r="H576" s="390" t="s">
        <v>49</v>
      </c>
      <c r="I576" s="390" t="s">
        <v>49</v>
      </c>
      <c r="J576" s="390" t="s">
        <v>49</v>
      </c>
      <c r="K576" s="390" t="s">
        <v>49</v>
      </c>
      <c r="L576" s="448" t="s">
        <v>632</v>
      </c>
      <c r="M576" s="449">
        <v>1</v>
      </c>
      <c r="N576" s="436"/>
      <c r="O576" s="450"/>
      <c r="P576" s="451">
        <v>6000000</v>
      </c>
      <c r="Q576" s="452" t="s">
        <v>277</v>
      </c>
    </row>
    <row r="577" spans="1:17" s="394" customFormat="1" ht="30" x14ac:dyDescent="0.25">
      <c r="A577" s="432">
        <f t="shared" si="1"/>
        <v>23</v>
      </c>
      <c r="B577" s="456" t="s">
        <v>1759</v>
      </c>
      <c r="C577" s="395" t="s">
        <v>1760</v>
      </c>
      <c r="D577" s="399" t="s">
        <v>1761</v>
      </c>
      <c r="E577" s="399" t="s">
        <v>247</v>
      </c>
      <c r="F577" s="389" t="s">
        <v>152</v>
      </c>
      <c r="G577" s="390" t="s">
        <v>49</v>
      </c>
      <c r="H577" s="390" t="s">
        <v>49</v>
      </c>
      <c r="I577" s="390" t="s">
        <v>49</v>
      </c>
      <c r="J577" s="390" t="s">
        <v>49</v>
      </c>
      <c r="K577" s="390" t="s">
        <v>49</v>
      </c>
      <c r="L577" s="448" t="s">
        <v>632</v>
      </c>
      <c r="M577" s="449">
        <v>3</v>
      </c>
      <c r="N577" s="436"/>
      <c r="O577" s="450"/>
      <c r="P577" s="451">
        <v>15000000</v>
      </c>
      <c r="Q577" s="452" t="s">
        <v>277</v>
      </c>
    </row>
    <row r="578" spans="1:17" s="394" customFormat="1" ht="37.5" customHeight="1" x14ac:dyDescent="0.25">
      <c r="A578" s="432">
        <v>22</v>
      </c>
      <c r="B578" s="405" t="s">
        <v>842</v>
      </c>
      <c r="C578" s="395" t="s">
        <v>843</v>
      </c>
      <c r="D578" s="388" t="s">
        <v>1762</v>
      </c>
      <c r="E578" s="388" t="s">
        <v>1763</v>
      </c>
      <c r="F578" s="389" t="s">
        <v>1764</v>
      </c>
      <c r="G578" s="385" t="s">
        <v>49</v>
      </c>
      <c r="H578" s="385" t="s">
        <v>49</v>
      </c>
      <c r="I578" s="385" t="s">
        <v>49</v>
      </c>
      <c r="J578" s="385" t="s">
        <v>49</v>
      </c>
      <c r="K578" s="385" t="s">
        <v>49</v>
      </c>
      <c r="L578" s="391" t="s">
        <v>16</v>
      </c>
      <c r="M578" s="389" t="s">
        <v>1489</v>
      </c>
      <c r="N578" s="397"/>
      <c r="O578" s="392"/>
      <c r="P578" s="402">
        <v>25000000</v>
      </c>
      <c r="Q578" s="393" t="s">
        <v>200</v>
      </c>
    </row>
    <row r="579" spans="1:17" s="394" customFormat="1" ht="45" x14ac:dyDescent="0.25">
      <c r="A579" s="432">
        <f t="shared" si="1"/>
        <v>23</v>
      </c>
      <c r="B579" s="405" t="s">
        <v>1765</v>
      </c>
      <c r="C579" s="395" t="s">
        <v>369</v>
      </c>
      <c r="D579" s="389" t="s">
        <v>1766</v>
      </c>
      <c r="E579" s="389" t="s">
        <v>1767</v>
      </c>
      <c r="F579" s="389" t="s">
        <v>152</v>
      </c>
      <c r="G579" s="390" t="s">
        <v>49</v>
      </c>
      <c r="H579" s="390" t="s">
        <v>49</v>
      </c>
      <c r="I579" s="390" t="s">
        <v>49</v>
      </c>
      <c r="J579" s="390" t="s">
        <v>49</v>
      </c>
      <c r="K579" s="390" t="s">
        <v>49</v>
      </c>
      <c r="L579" s="391" t="s">
        <v>1768</v>
      </c>
      <c r="M579" s="389" t="s">
        <v>1769</v>
      </c>
      <c r="N579" s="392"/>
      <c r="O579" s="392"/>
      <c r="P579" s="420">
        <v>10000000</v>
      </c>
      <c r="Q579" s="457" t="s">
        <v>200</v>
      </c>
    </row>
    <row r="580" spans="1:17" s="394" customFormat="1" ht="30" x14ac:dyDescent="0.25">
      <c r="A580" s="432">
        <f t="shared" ref="A580:A633" si="2">A579+1</f>
        <v>24</v>
      </c>
      <c r="B580" s="405" t="s">
        <v>1061</v>
      </c>
      <c r="C580" s="395" t="s">
        <v>357</v>
      </c>
      <c r="D580" s="389" t="s">
        <v>1770</v>
      </c>
      <c r="E580" s="389" t="s">
        <v>1771</v>
      </c>
      <c r="F580" s="389" t="s">
        <v>1282</v>
      </c>
      <c r="G580" s="390" t="s">
        <v>49</v>
      </c>
      <c r="H580" s="390" t="s">
        <v>49</v>
      </c>
      <c r="I580" s="390" t="s">
        <v>49</v>
      </c>
      <c r="J580" s="390" t="s">
        <v>49</v>
      </c>
      <c r="K580" s="390" t="s">
        <v>49</v>
      </c>
      <c r="L580" s="391" t="s">
        <v>1772</v>
      </c>
      <c r="M580" s="389" t="s">
        <v>1773</v>
      </c>
      <c r="N580" s="392"/>
      <c r="O580" s="392"/>
      <c r="P580" s="420">
        <v>10000000</v>
      </c>
      <c r="Q580" s="457" t="s">
        <v>200</v>
      </c>
    </row>
    <row r="581" spans="1:17" s="394" customFormat="1" ht="30" x14ac:dyDescent="0.25">
      <c r="A581" s="432">
        <v>23</v>
      </c>
      <c r="B581" s="405" t="s">
        <v>1563</v>
      </c>
      <c r="C581" s="395" t="s">
        <v>367</v>
      </c>
      <c r="D581" s="389" t="s">
        <v>1774</v>
      </c>
      <c r="E581" s="389" t="s">
        <v>1775</v>
      </c>
      <c r="F581" s="389" t="s">
        <v>152</v>
      </c>
      <c r="G581" s="390" t="s">
        <v>49</v>
      </c>
      <c r="H581" s="390" t="s">
        <v>49</v>
      </c>
      <c r="I581" s="390" t="s">
        <v>49</v>
      </c>
      <c r="J581" s="390" t="s">
        <v>49</v>
      </c>
      <c r="K581" s="390" t="s">
        <v>49</v>
      </c>
      <c r="L581" s="391" t="s">
        <v>1776</v>
      </c>
      <c r="M581" s="389" t="s">
        <v>1777</v>
      </c>
      <c r="N581" s="392"/>
      <c r="O581" s="392"/>
      <c r="P581" s="420">
        <v>10000000</v>
      </c>
      <c r="Q581" s="457" t="s">
        <v>200</v>
      </c>
    </row>
    <row r="582" spans="1:17" s="394" customFormat="1" ht="45" x14ac:dyDescent="0.25">
      <c r="A582" s="432">
        <f t="shared" si="2"/>
        <v>24</v>
      </c>
      <c r="B582" s="405" t="s">
        <v>1033</v>
      </c>
      <c r="C582" s="395" t="s">
        <v>314</v>
      </c>
      <c r="D582" s="389" t="s">
        <v>1778</v>
      </c>
      <c r="E582" s="388" t="s">
        <v>1779</v>
      </c>
      <c r="F582" s="389" t="s">
        <v>1261</v>
      </c>
      <c r="G582" s="390" t="s">
        <v>49</v>
      </c>
      <c r="H582" s="390" t="s">
        <v>49</v>
      </c>
      <c r="I582" s="390" t="s">
        <v>49</v>
      </c>
      <c r="J582" s="390" t="s">
        <v>49</v>
      </c>
      <c r="K582" s="390" t="s">
        <v>49</v>
      </c>
      <c r="L582" s="391" t="s">
        <v>1780</v>
      </c>
      <c r="M582" s="389" t="s">
        <v>1781</v>
      </c>
      <c r="N582" s="392"/>
      <c r="O582" s="397"/>
      <c r="P582" s="392">
        <v>5000000</v>
      </c>
      <c r="Q582" s="457" t="s">
        <v>200</v>
      </c>
    </row>
    <row r="583" spans="1:17" s="394" customFormat="1" ht="30" x14ac:dyDescent="0.25">
      <c r="A583" s="432">
        <f t="shared" si="2"/>
        <v>25</v>
      </c>
      <c r="B583" s="458" t="s">
        <v>842</v>
      </c>
      <c r="C583" s="395" t="s">
        <v>843</v>
      </c>
      <c r="D583" s="399" t="s">
        <v>1782</v>
      </c>
      <c r="E583" s="399" t="s">
        <v>1572</v>
      </c>
      <c r="F583" s="399" t="s">
        <v>1573</v>
      </c>
      <c r="G583" s="390" t="s">
        <v>49</v>
      </c>
      <c r="H583" s="390" t="s">
        <v>49</v>
      </c>
      <c r="I583" s="390" t="s">
        <v>49</v>
      </c>
      <c r="J583" s="390" t="s">
        <v>49</v>
      </c>
      <c r="K583" s="390" t="s">
        <v>49</v>
      </c>
      <c r="L583" s="396" t="s">
        <v>1783</v>
      </c>
      <c r="M583" s="401" t="s">
        <v>1489</v>
      </c>
      <c r="N583" s="450"/>
      <c r="O583" s="402"/>
      <c r="P583" s="402">
        <v>20000000</v>
      </c>
      <c r="Q583" s="403" t="s">
        <v>200</v>
      </c>
    </row>
    <row r="584" spans="1:17" s="394" customFormat="1" x14ac:dyDescent="0.25">
      <c r="A584" s="432">
        <v>24</v>
      </c>
      <c r="B584" s="459" t="s">
        <v>1043</v>
      </c>
      <c r="C584" s="395" t="s">
        <v>1516</v>
      </c>
      <c r="D584" s="460" t="s">
        <v>1784</v>
      </c>
      <c r="E584" s="399" t="s">
        <v>1785</v>
      </c>
      <c r="F584" s="399" t="s">
        <v>1786</v>
      </c>
      <c r="G584" s="390" t="s">
        <v>49</v>
      </c>
      <c r="H584" s="390" t="s">
        <v>49</v>
      </c>
      <c r="I584" s="390" t="s">
        <v>49</v>
      </c>
      <c r="J584" s="390" t="s">
        <v>49</v>
      </c>
      <c r="K584" s="390" t="s">
        <v>49</v>
      </c>
      <c r="L584" s="396" t="s">
        <v>1594</v>
      </c>
      <c r="M584" s="401" t="s">
        <v>1494</v>
      </c>
      <c r="N584" s="450"/>
      <c r="O584" s="402"/>
      <c r="P584" s="402">
        <v>10500000</v>
      </c>
      <c r="Q584" s="403" t="s">
        <v>200</v>
      </c>
    </row>
    <row r="585" spans="1:17" s="394" customFormat="1" x14ac:dyDescent="0.25">
      <c r="A585" s="432">
        <f t="shared" si="2"/>
        <v>25</v>
      </c>
      <c r="B585" s="458" t="s">
        <v>1043</v>
      </c>
      <c r="C585" s="395" t="s">
        <v>1516</v>
      </c>
      <c r="D585" s="399" t="s">
        <v>1787</v>
      </c>
      <c r="E585" s="401" t="s">
        <v>1785</v>
      </c>
      <c r="F585" s="399" t="s">
        <v>1788</v>
      </c>
      <c r="G585" s="390" t="s">
        <v>49</v>
      </c>
      <c r="H585" s="390" t="s">
        <v>49</v>
      </c>
      <c r="I585" s="390" t="s">
        <v>49</v>
      </c>
      <c r="J585" s="390" t="s">
        <v>49</v>
      </c>
      <c r="K585" s="390" t="s">
        <v>49</v>
      </c>
      <c r="L585" s="396" t="s">
        <v>1789</v>
      </c>
      <c r="M585" s="401" t="s">
        <v>1489</v>
      </c>
      <c r="N585" s="402"/>
      <c r="O585" s="402"/>
      <c r="P585" s="402">
        <v>95000000</v>
      </c>
      <c r="Q585" s="411" t="s">
        <v>200</v>
      </c>
    </row>
    <row r="586" spans="1:17" s="394" customFormat="1" ht="30" x14ac:dyDescent="0.25">
      <c r="A586" s="432">
        <f t="shared" si="2"/>
        <v>26</v>
      </c>
      <c r="B586" s="405" t="s">
        <v>842</v>
      </c>
      <c r="C586" s="395" t="s">
        <v>843</v>
      </c>
      <c r="D586" s="400" t="s">
        <v>1790</v>
      </c>
      <c r="E586" s="399" t="s">
        <v>1791</v>
      </c>
      <c r="F586" s="399" t="s">
        <v>1792</v>
      </c>
      <c r="G586" s="390" t="s">
        <v>49</v>
      </c>
      <c r="H586" s="390" t="s">
        <v>49</v>
      </c>
      <c r="I586" s="390" t="s">
        <v>49</v>
      </c>
      <c r="J586" s="390" t="s">
        <v>49</v>
      </c>
      <c r="K586" s="390" t="s">
        <v>49</v>
      </c>
      <c r="L586" s="396" t="s">
        <v>1793</v>
      </c>
      <c r="M586" s="399" t="s">
        <v>1494</v>
      </c>
      <c r="N586" s="422"/>
      <c r="O586" s="423"/>
      <c r="P586" s="402">
        <v>10000000</v>
      </c>
      <c r="Q586" s="411" t="s">
        <v>200</v>
      </c>
    </row>
    <row r="587" spans="1:17" s="394" customFormat="1" ht="45" x14ac:dyDescent="0.25">
      <c r="A587" s="432">
        <v>25</v>
      </c>
      <c r="B587" s="385" t="s">
        <v>1115</v>
      </c>
      <c r="C587" s="395" t="s">
        <v>1579</v>
      </c>
      <c r="D587" s="399" t="s">
        <v>1794</v>
      </c>
      <c r="E587" s="399" t="s">
        <v>1795</v>
      </c>
      <c r="F587" s="389" t="s">
        <v>152</v>
      </c>
      <c r="G587" s="390" t="s">
        <v>49</v>
      </c>
      <c r="H587" s="390" t="s">
        <v>49</v>
      </c>
      <c r="I587" s="390" t="s">
        <v>49</v>
      </c>
      <c r="J587" s="390" t="s">
        <v>49</v>
      </c>
      <c r="K587" s="390" t="s">
        <v>49</v>
      </c>
      <c r="L587" s="400" t="s">
        <v>632</v>
      </c>
      <c r="M587" s="385">
        <v>0</v>
      </c>
      <c r="N587" s="436"/>
      <c r="O587" s="450"/>
      <c r="P587" s="451">
        <v>465000000</v>
      </c>
      <c r="Q587" s="414" t="s">
        <v>200</v>
      </c>
    </row>
    <row r="588" spans="1:17" s="394" customFormat="1" ht="45" x14ac:dyDescent="0.25">
      <c r="A588" s="432">
        <f t="shared" si="2"/>
        <v>26</v>
      </c>
      <c r="B588" s="447" t="s">
        <v>1796</v>
      </c>
      <c r="C588" s="387" t="s">
        <v>1797</v>
      </c>
      <c r="D588" s="399" t="s">
        <v>1798</v>
      </c>
      <c r="E588" s="399" t="s">
        <v>1799</v>
      </c>
      <c r="F588" s="389" t="s">
        <v>152</v>
      </c>
      <c r="G588" s="390" t="s">
        <v>49</v>
      </c>
      <c r="H588" s="390" t="s">
        <v>49</v>
      </c>
      <c r="I588" s="390" t="s">
        <v>49</v>
      </c>
      <c r="J588" s="390" t="s">
        <v>49</v>
      </c>
      <c r="K588" s="390" t="s">
        <v>49</v>
      </c>
      <c r="L588" s="400" t="s">
        <v>632</v>
      </c>
      <c r="M588" s="385">
        <v>128</v>
      </c>
      <c r="N588" s="436"/>
      <c r="O588" s="450"/>
      <c r="P588" s="451">
        <v>198400000</v>
      </c>
      <c r="Q588" s="414" t="s">
        <v>200</v>
      </c>
    </row>
    <row r="589" spans="1:17" s="394" customFormat="1" ht="45" x14ac:dyDescent="0.25">
      <c r="A589" s="432">
        <f t="shared" si="2"/>
        <v>27</v>
      </c>
      <c r="B589" s="447" t="s">
        <v>1800</v>
      </c>
      <c r="C589" s="395" t="s">
        <v>1801</v>
      </c>
      <c r="D589" s="399" t="s">
        <v>1802</v>
      </c>
      <c r="E589" s="399" t="s">
        <v>1799</v>
      </c>
      <c r="F589" s="389" t="s">
        <v>152</v>
      </c>
      <c r="G589" s="390" t="s">
        <v>49</v>
      </c>
      <c r="H589" s="390" t="s">
        <v>49</v>
      </c>
      <c r="I589" s="390" t="s">
        <v>49</v>
      </c>
      <c r="J589" s="390" t="s">
        <v>49</v>
      </c>
      <c r="K589" s="390" t="s">
        <v>49</v>
      </c>
      <c r="L589" s="400" t="s">
        <v>632</v>
      </c>
      <c r="M589" s="385">
        <v>270</v>
      </c>
      <c r="N589" s="436"/>
      <c r="O589" s="450"/>
      <c r="P589" s="451">
        <v>418500000</v>
      </c>
      <c r="Q589" s="414" t="s">
        <v>200</v>
      </c>
    </row>
    <row r="590" spans="1:17" s="394" customFormat="1" ht="45" x14ac:dyDescent="0.25">
      <c r="A590" s="432">
        <v>26</v>
      </c>
      <c r="B590" s="447" t="s">
        <v>1800</v>
      </c>
      <c r="C590" s="412" t="s">
        <v>1801</v>
      </c>
      <c r="D590" s="399" t="s">
        <v>1803</v>
      </c>
      <c r="E590" s="399" t="s">
        <v>1799</v>
      </c>
      <c r="F590" s="389" t="s">
        <v>152</v>
      </c>
      <c r="G590" s="390" t="s">
        <v>49</v>
      </c>
      <c r="H590" s="390" t="s">
        <v>49</v>
      </c>
      <c r="I590" s="390" t="s">
        <v>49</v>
      </c>
      <c r="J590" s="390" t="s">
        <v>49</v>
      </c>
      <c r="K590" s="390" t="s">
        <v>49</v>
      </c>
      <c r="L590" s="400" t="s">
        <v>632</v>
      </c>
      <c r="M590" s="385">
        <v>108</v>
      </c>
      <c r="N590" s="436"/>
      <c r="O590" s="450"/>
      <c r="P590" s="451">
        <v>186000000</v>
      </c>
      <c r="Q590" s="414" t="s">
        <v>200</v>
      </c>
    </row>
    <row r="591" spans="1:17" s="394" customFormat="1" ht="39.75" customHeight="1" x14ac:dyDescent="0.25">
      <c r="A591" s="432">
        <f t="shared" si="2"/>
        <v>27</v>
      </c>
      <c r="B591" s="447" t="s">
        <v>1804</v>
      </c>
      <c r="C591" s="395" t="s">
        <v>1805</v>
      </c>
      <c r="D591" s="400" t="s">
        <v>1806</v>
      </c>
      <c r="E591" s="399" t="s">
        <v>197</v>
      </c>
      <c r="F591" s="389" t="s">
        <v>152</v>
      </c>
      <c r="G591" s="390" t="s">
        <v>49</v>
      </c>
      <c r="H591" s="390" t="s">
        <v>49</v>
      </c>
      <c r="I591" s="390" t="s">
        <v>49</v>
      </c>
      <c r="J591" s="390" t="s">
        <v>49</v>
      </c>
      <c r="K591" s="390" t="s">
        <v>49</v>
      </c>
      <c r="L591" s="400" t="s">
        <v>632</v>
      </c>
      <c r="M591" s="385">
        <v>0</v>
      </c>
      <c r="N591" s="436"/>
      <c r="O591" s="450"/>
      <c r="P591" s="451">
        <v>135000000</v>
      </c>
      <c r="Q591" s="414" t="s">
        <v>200</v>
      </c>
    </row>
    <row r="592" spans="1:17" s="394" customFormat="1" ht="37.5" customHeight="1" x14ac:dyDescent="0.25">
      <c r="A592" s="432">
        <f t="shared" si="2"/>
        <v>28</v>
      </c>
      <c r="B592" s="447" t="s">
        <v>1610</v>
      </c>
      <c r="C592" s="387" t="s">
        <v>1611</v>
      </c>
      <c r="D592" s="400" t="s">
        <v>1807</v>
      </c>
      <c r="E592" s="399" t="s">
        <v>1808</v>
      </c>
      <c r="F592" s="389" t="s">
        <v>152</v>
      </c>
      <c r="G592" s="390" t="s">
        <v>49</v>
      </c>
      <c r="H592" s="390" t="s">
        <v>49</v>
      </c>
      <c r="I592" s="390" t="s">
        <v>49</v>
      </c>
      <c r="J592" s="390" t="s">
        <v>49</v>
      </c>
      <c r="K592" s="390" t="s">
        <v>49</v>
      </c>
      <c r="L592" s="400" t="s">
        <v>632</v>
      </c>
      <c r="M592" s="385">
        <v>25</v>
      </c>
      <c r="N592" s="436"/>
      <c r="O592" s="450"/>
      <c r="P592" s="451">
        <v>37500000</v>
      </c>
      <c r="Q592" s="457" t="s">
        <v>200</v>
      </c>
    </row>
    <row r="593" spans="1:17" s="394" customFormat="1" ht="51.75" customHeight="1" x14ac:dyDescent="0.25">
      <c r="A593" s="432">
        <v>27</v>
      </c>
      <c r="B593" s="453" t="s">
        <v>1374</v>
      </c>
      <c r="C593" s="461" t="s">
        <v>1526</v>
      </c>
      <c r="D593" s="462" t="s">
        <v>1809</v>
      </c>
      <c r="E593" s="399" t="s">
        <v>1810</v>
      </c>
      <c r="F593" s="389" t="s">
        <v>152</v>
      </c>
      <c r="G593" s="390" t="s">
        <v>49</v>
      </c>
      <c r="H593" s="390" t="s">
        <v>49</v>
      </c>
      <c r="I593" s="390" t="s">
        <v>49</v>
      </c>
      <c r="J593" s="390" t="s">
        <v>49</v>
      </c>
      <c r="K593" s="390" t="s">
        <v>49</v>
      </c>
      <c r="L593" s="448" t="s">
        <v>632</v>
      </c>
      <c r="M593" s="385">
        <v>1500</v>
      </c>
      <c r="N593" s="463"/>
      <c r="O593" s="450"/>
      <c r="P593" s="451">
        <v>255000000</v>
      </c>
      <c r="Q593" s="457" t="s">
        <v>200</v>
      </c>
    </row>
    <row r="594" spans="1:17" s="394" customFormat="1" ht="36.75" customHeight="1" x14ac:dyDescent="0.25">
      <c r="A594" s="432">
        <f t="shared" si="2"/>
        <v>28</v>
      </c>
      <c r="B594" s="385" t="s">
        <v>1306</v>
      </c>
      <c r="C594" s="395" t="s">
        <v>560</v>
      </c>
      <c r="D594" s="462" t="s">
        <v>1811</v>
      </c>
      <c r="E594" s="399" t="s">
        <v>1812</v>
      </c>
      <c r="F594" s="389" t="s">
        <v>152</v>
      </c>
      <c r="G594" s="390" t="s">
        <v>49</v>
      </c>
      <c r="H594" s="390" t="s">
        <v>49</v>
      </c>
      <c r="I594" s="390" t="s">
        <v>49</v>
      </c>
      <c r="J594" s="390" t="s">
        <v>49</v>
      </c>
      <c r="K594" s="390" t="s">
        <v>49</v>
      </c>
      <c r="L594" s="448" t="s">
        <v>632</v>
      </c>
      <c r="M594" s="385">
        <v>15</v>
      </c>
      <c r="N594" s="436"/>
      <c r="O594" s="450"/>
      <c r="P594" s="451">
        <v>30000000</v>
      </c>
      <c r="Q594" s="457" t="s">
        <v>200</v>
      </c>
    </row>
    <row r="595" spans="1:17" s="394" customFormat="1" ht="30" x14ac:dyDescent="0.25">
      <c r="A595" s="432">
        <f t="shared" si="2"/>
        <v>29</v>
      </c>
      <c r="B595" s="442" t="s">
        <v>1260</v>
      </c>
      <c r="C595" s="387" t="s">
        <v>1813</v>
      </c>
      <c r="D595" s="462" t="s">
        <v>1814</v>
      </c>
      <c r="E595" s="399" t="s">
        <v>1812</v>
      </c>
      <c r="F595" s="389" t="s">
        <v>152</v>
      </c>
      <c r="G595" s="390" t="s">
        <v>49</v>
      </c>
      <c r="H595" s="390" t="s">
        <v>49</v>
      </c>
      <c r="I595" s="390" t="s">
        <v>49</v>
      </c>
      <c r="J595" s="390" t="s">
        <v>49</v>
      </c>
      <c r="K595" s="390" t="s">
        <v>49</v>
      </c>
      <c r="L595" s="448" t="s">
        <v>632</v>
      </c>
      <c r="M595" s="385">
        <v>1</v>
      </c>
      <c r="N595" s="436"/>
      <c r="O595" s="450"/>
      <c r="P595" s="451">
        <v>75000000</v>
      </c>
      <c r="Q595" s="457" t="s">
        <v>200</v>
      </c>
    </row>
    <row r="596" spans="1:17" s="394" customFormat="1" ht="30" x14ac:dyDescent="0.25">
      <c r="A596" s="432">
        <v>28</v>
      </c>
      <c r="B596" s="453" t="s">
        <v>1268</v>
      </c>
      <c r="C596" s="395" t="s">
        <v>1815</v>
      </c>
      <c r="D596" s="462" t="s">
        <v>1816</v>
      </c>
      <c r="E596" s="399" t="s">
        <v>1817</v>
      </c>
      <c r="F596" s="389" t="s">
        <v>152</v>
      </c>
      <c r="G596" s="390" t="s">
        <v>49</v>
      </c>
      <c r="H596" s="390" t="s">
        <v>49</v>
      </c>
      <c r="I596" s="390" t="s">
        <v>49</v>
      </c>
      <c r="J596" s="390" t="s">
        <v>49</v>
      </c>
      <c r="K596" s="390" t="s">
        <v>49</v>
      </c>
      <c r="L596" s="448" t="s">
        <v>632</v>
      </c>
      <c r="M596" s="385">
        <v>1</v>
      </c>
      <c r="N596" s="436"/>
      <c r="O596" s="450"/>
      <c r="P596" s="451">
        <v>75000000</v>
      </c>
      <c r="Q596" s="457" t="s">
        <v>200</v>
      </c>
    </row>
    <row r="597" spans="1:17" s="394" customFormat="1" ht="45" x14ac:dyDescent="0.25">
      <c r="A597" s="432">
        <f t="shared" si="2"/>
        <v>29</v>
      </c>
      <c r="B597" s="453" t="s">
        <v>1255</v>
      </c>
      <c r="C597" s="395" t="s">
        <v>1818</v>
      </c>
      <c r="D597" s="462" t="s">
        <v>1819</v>
      </c>
      <c r="E597" s="399" t="s">
        <v>1312</v>
      </c>
      <c r="F597" s="389" t="s">
        <v>152</v>
      </c>
      <c r="G597" s="390" t="s">
        <v>49</v>
      </c>
      <c r="H597" s="390" t="s">
        <v>49</v>
      </c>
      <c r="I597" s="390" t="s">
        <v>49</v>
      </c>
      <c r="J597" s="390" t="s">
        <v>49</v>
      </c>
      <c r="K597" s="390" t="s">
        <v>49</v>
      </c>
      <c r="L597" s="448" t="s">
        <v>632</v>
      </c>
      <c r="M597" s="385">
        <v>1</v>
      </c>
      <c r="N597" s="436"/>
      <c r="O597" s="450"/>
      <c r="P597" s="451">
        <v>50000000</v>
      </c>
      <c r="Q597" s="457" t="s">
        <v>200</v>
      </c>
    </row>
    <row r="598" spans="1:17" s="394" customFormat="1" ht="65.25" customHeight="1" x14ac:dyDescent="0.25">
      <c r="A598" s="432">
        <f t="shared" si="2"/>
        <v>30</v>
      </c>
      <c r="B598" s="453" t="s">
        <v>1255</v>
      </c>
      <c r="C598" s="395" t="s">
        <v>1818</v>
      </c>
      <c r="D598" s="462" t="s">
        <v>1820</v>
      </c>
      <c r="E598" s="399" t="s">
        <v>1312</v>
      </c>
      <c r="F598" s="389" t="s">
        <v>152</v>
      </c>
      <c r="G598" s="390" t="s">
        <v>49</v>
      </c>
      <c r="H598" s="390" t="s">
        <v>49</v>
      </c>
      <c r="I598" s="390" t="s">
        <v>49</v>
      </c>
      <c r="J598" s="390" t="s">
        <v>49</v>
      </c>
      <c r="K598" s="390" t="s">
        <v>49</v>
      </c>
      <c r="L598" s="448" t="s">
        <v>632</v>
      </c>
      <c r="M598" s="385">
        <v>1</v>
      </c>
      <c r="N598" s="436"/>
      <c r="O598" s="450"/>
      <c r="P598" s="451">
        <v>50000000</v>
      </c>
      <c r="Q598" s="457" t="s">
        <v>200</v>
      </c>
    </row>
    <row r="599" spans="1:17" s="394" customFormat="1" ht="30" x14ac:dyDescent="0.25">
      <c r="A599" s="432">
        <v>29</v>
      </c>
      <c r="B599" s="447" t="s">
        <v>1038</v>
      </c>
      <c r="C599" s="395" t="s">
        <v>1490</v>
      </c>
      <c r="D599" s="462" t="s">
        <v>1821</v>
      </c>
      <c r="E599" s="399" t="s">
        <v>1822</v>
      </c>
      <c r="F599" s="389" t="s">
        <v>152</v>
      </c>
      <c r="G599" s="390" t="s">
        <v>49</v>
      </c>
      <c r="H599" s="390" t="s">
        <v>49</v>
      </c>
      <c r="I599" s="390" t="s">
        <v>49</v>
      </c>
      <c r="J599" s="390" t="s">
        <v>49</v>
      </c>
      <c r="K599" s="390" t="s">
        <v>49</v>
      </c>
      <c r="L599" s="448" t="s">
        <v>632</v>
      </c>
      <c r="M599" s="385">
        <v>2</v>
      </c>
      <c r="N599" s="436"/>
      <c r="O599" s="450"/>
      <c r="P599" s="451">
        <v>50000000</v>
      </c>
      <c r="Q599" s="457" t="s">
        <v>200</v>
      </c>
    </row>
    <row r="600" spans="1:17" s="394" customFormat="1" ht="45" x14ac:dyDescent="0.25">
      <c r="A600" s="432">
        <f t="shared" si="2"/>
        <v>30</v>
      </c>
      <c r="B600" s="447" t="s">
        <v>1800</v>
      </c>
      <c r="C600" s="395" t="s">
        <v>1801</v>
      </c>
      <c r="D600" s="462" t="s">
        <v>1823</v>
      </c>
      <c r="E600" s="399" t="s">
        <v>1799</v>
      </c>
      <c r="F600" s="389" t="s">
        <v>152</v>
      </c>
      <c r="G600" s="390" t="s">
        <v>49</v>
      </c>
      <c r="H600" s="390" t="s">
        <v>49</v>
      </c>
      <c r="I600" s="390" t="s">
        <v>49</v>
      </c>
      <c r="J600" s="390" t="s">
        <v>49</v>
      </c>
      <c r="K600" s="390" t="s">
        <v>49</v>
      </c>
      <c r="L600" s="448" t="s">
        <v>632</v>
      </c>
      <c r="M600" s="385">
        <v>120</v>
      </c>
      <c r="N600" s="436"/>
      <c r="O600" s="450"/>
      <c r="P600" s="451">
        <v>66000000</v>
      </c>
      <c r="Q600" s="457" t="s">
        <v>200</v>
      </c>
    </row>
    <row r="601" spans="1:17" s="394" customFormat="1" ht="30" x14ac:dyDescent="0.25">
      <c r="A601" s="432">
        <f t="shared" si="2"/>
        <v>31</v>
      </c>
      <c r="B601" s="447" t="s">
        <v>842</v>
      </c>
      <c r="C601" s="395" t="s">
        <v>843</v>
      </c>
      <c r="D601" s="462" t="s">
        <v>1824</v>
      </c>
      <c r="E601" s="399" t="s">
        <v>1825</v>
      </c>
      <c r="F601" s="389" t="s">
        <v>152</v>
      </c>
      <c r="G601" s="390" t="s">
        <v>49</v>
      </c>
      <c r="H601" s="390" t="s">
        <v>49</v>
      </c>
      <c r="I601" s="390" t="s">
        <v>49</v>
      </c>
      <c r="J601" s="390" t="s">
        <v>49</v>
      </c>
      <c r="K601" s="390" t="s">
        <v>49</v>
      </c>
      <c r="L601" s="448" t="s">
        <v>632</v>
      </c>
      <c r="M601" s="385">
        <v>2</v>
      </c>
      <c r="N601" s="436"/>
      <c r="O601" s="450"/>
      <c r="P601" s="451">
        <v>40000000</v>
      </c>
      <c r="Q601" s="457" t="s">
        <v>200</v>
      </c>
    </row>
    <row r="602" spans="1:17" s="394" customFormat="1" x14ac:dyDescent="0.25">
      <c r="A602" s="432">
        <v>30</v>
      </c>
      <c r="B602" s="447" t="s">
        <v>842</v>
      </c>
      <c r="C602" s="395" t="s">
        <v>1348</v>
      </c>
      <c r="D602" s="462" t="s">
        <v>1826</v>
      </c>
      <c r="E602" s="399" t="s">
        <v>1510</v>
      </c>
      <c r="F602" s="389" t="s">
        <v>152</v>
      </c>
      <c r="G602" s="390" t="s">
        <v>49</v>
      </c>
      <c r="H602" s="390" t="s">
        <v>49</v>
      </c>
      <c r="I602" s="390" t="s">
        <v>49</v>
      </c>
      <c r="J602" s="390" t="s">
        <v>49</v>
      </c>
      <c r="K602" s="390" t="s">
        <v>49</v>
      </c>
      <c r="L602" s="448" t="s">
        <v>632</v>
      </c>
      <c r="M602" s="385">
        <v>1</v>
      </c>
      <c r="N602" s="436"/>
      <c r="O602" s="450"/>
      <c r="P602" s="451">
        <v>240000000</v>
      </c>
      <c r="Q602" s="457" t="s">
        <v>200</v>
      </c>
    </row>
    <row r="603" spans="1:17" s="413" customFormat="1" ht="37.5" customHeight="1" x14ac:dyDescent="0.25">
      <c r="A603" s="432">
        <f t="shared" si="2"/>
        <v>31</v>
      </c>
      <c r="B603" s="447" t="s">
        <v>842</v>
      </c>
      <c r="C603" s="395" t="s">
        <v>1348</v>
      </c>
      <c r="D603" s="462" t="s">
        <v>1827</v>
      </c>
      <c r="E603" s="399" t="s">
        <v>1510</v>
      </c>
      <c r="F603" s="389" t="s">
        <v>152</v>
      </c>
      <c r="G603" s="390" t="s">
        <v>49</v>
      </c>
      <c r="H603" s="390" t="s">
        <v>49</v>
      </c>
      <c r="I603" s="390" t="s">
        <v>49</v>
      </c>
      <c r="J603" s="390" t="s">
        <v>49</v>
      </c>
      <c r="K603" s="390" t="s">
        <v>49</v>
      </c>
      <c r="L603" s="448" t="s">
        <v>1828</v>
      </c>
      <c r="M603" s="385">
        <v>5</v>
      </c>
      <c r="N603" s="436"/>
      <c r="O603" s="450"/>
      <c r="P603" s="451">
        <v>200000000</v>
      </c>
      <c r="Q603" s="457" t="s">
        <v>200</v>
      </c>
    </row>
    <row r="604" spans="1:17" s="413" customFormat="1" ht="31.5" customHeight="1" x14ac:dyDescent="0.25">
      <c r="A604" s="432">
        <f t="shared" si="2"/>
        <v>32</v>
      </c>
      <c r="B604" s="453" t="s">
        <v>1053</v>
      </c>
      <c r="C604" s="387" t="s">
        <v>1829</v>
      </c>
      <c r="D604" s="462" t="s">
        <v>1830</v>
      </c>
      <c r="E604" s="399" t="s">
        <v>1831</v>
      </c>
      <c r="F604" s="389" t="s">
        <v>152</v>
      </c>
      <c r="G604" s="390" t="s">
        <v>49</v>
      </c>
      <c r="H604" s="390" t="s">
        <v>49</v>
      </c>
      <c r="I604" s="390" t="s">
        <v>49</v>
      </c>
      <c r="J604" s="390" t="s">
        <v>49</v>
      </c>
      <c r="K604" s="390" t="s">
        <v>49</v>
      </c>
      <c r="L604" s="448" t="s">
        <v>1828</v>
      </c>
      <c r="M604" s="385">
        <v>5</v>
      </c>
      <c r="N604" s="436"/>
      <c r="O604" s="450"/>
      <c r="P604" s="451">
        <v>125000000</v>
      </c>
      <c r="Q604" s="457" t="s">
        <v>200</v>
      </c>
    </row>
    <row r="605" spans="1:17" s="413" customFormat="1" ht="36" customHeight="1" x14ac:dyDescent="0.25">
      <c r="A605" s="432">
        <v>31</v>
      </c>
      <c r="B605" s="421">
        <v>0.54583333333333328</v>
      </c>
      <c r="C605" s="395" t="s">
        <v>1832</v>
      </c>
      <c r="D605" s="388" t="s">
        <v>1833</v>
      </c>
      <c r="E605" s="388" t="s">
        <v>1834</v>
      </c>
      <c r="F605" s="388" t="s">
        <v>1835</v>
      </c>
      <c r="G605" s="385"/>
      <c r="H605" s="385"/>
      <c r="I605" s="385"/>
      <c r="J605" s="385" t="s">
        <v>49</v>
      </c>
      <c r="K605" s="385"/>
      <c r="L605" s="391" t="s">
        <v>16</v>
      </c>
      <c r="M605" s="389" t="s">
        <v>239</v>
      </c>
      <c r="N605" s="397"/>
      <c r="O605" s="420">
        <v>7000000</v>
      </c>
      <c r="P605" s="392"/>
      <c r="Q605" s="414" t="s">
        <v>948</v>
      </c>
    </row>
    <row r="606" spans="1:17" s="413" customFormat="1" ht="33.75" customHeight="1" x14ac:dyDescent="0.25">
      <c r="A606" s="432">
        <f t="shared" si="2"/>
        <v>32</v>
      </c>
      <c r="B606" s="421">
        <v>0.29583333333333334</v>
      </c>
      <c r="C606" s="395" t="s">
        <v>1836</v>
      </c>
      <c r="D606" s="388" t="s">
        <v>1837</v>
      </c>
      <c r="E606" s="388" t="s">
        <v>1838</v>
      </c>
      <c r="F606" s="388" t="s">
        <v>1839</v>
      </c>
      <c r="G606" s="385"/>
      <c r="H606" s="385"/>
      <c r="I606" s="385"/>
      <c r="J606" s="385" t="s">
        <v>49</v>
      </c>
      <c r="K606" s="385"/>
      <c r="L606" s="391" t="s">
        <v>16</v>
      </c>
      <c r="M606" s="389" t="s">
        <v>239</v>
      </c>
      <c r="N606" s="397"/>
      <c r="O606" s="420">
        <v>7000000</v>
      </c>
      <c r="P606" s="392"/>
      <c r="Q606" s="414" t="s">
        <v>948</v>
      </c>
    </row>
    <row r="607" spans="1:17" s="413" customFormat="1" ht="33.75" customHeight="1" x14ac:dyDescent="0.25">
      <c r="A607" s="432">
        <f t="shared" si="2"/>
        <v>33</v>
      </c>
      <c r="B607" s="421">
        <v>0.54583333333333328</v>
      </c>
      <c r="C607" s="395" t="s">
        <v>1832</v>
      </c>
      <c r="D607" s="388" t="s">
        <v>1840</v>
      </c>
      <c r="E607" s="388" t="s">
        <v>1841</v>
      </c>
      <c r="F607" s="388" t="s">
        <v>1842</v>
      </c>
      <c r="G607" s="385"/>
      <c r="H607" s="385"/>
      <c r="I607" s="385"/>
      <c r="J607" s="385" t="s">
        <v>49</v>
      </c>
      <c r="K607" s="385"/>
      <c r="L607" s="391" t="s">
        <v>16</v>
      </c>
      <c r="M607" s="389" t="s">
        <v>239</v>
      </c>
      <c r="N607" s="397"/>
      <c r="O607" s="420">
        <v>7000000</v>
      </c>
      <c r="P607" s="392"/>
      <c r="Q607" s="414" t="s">
        <v>948</v>
      </c>
    </row>
    <row r="608" spans="1:17" s="413" customFormat="1" ht="34.5" customHeight="1" x14ac:dyDescent="0.25">
      <c r="A608" s="432">
        <v>32</v>
      </c>
      <c r="B608" s="421">
        <v>0.54583333333333328</v>
      </c>
      <c r="C608" s="395" t="s">
        <v>1832</v>
      </c>
      <c r="D608" s="388" t="s">
        <v>1843</v>
      </c>
      <c r="E608" s="388" t="s">
        <v>1844</v>
      </c>
      <c r="F608" s="388" t="s">
        <v>1845</v>
      </c>
      <c r="G608" s="419"/>
      <c r="H608" s="419"/>
      <c r="I608" s="419"/>
      <c r="J608" s="419" t="s">
        <v>49</v>
      </c>
      <c r="K608" s="419"/>
      <c r="L608" s="391" t="s">
        <v>16</v>
      </c>
      <c r="M608" s="388" t="s">
        <v>239</v>
      </c>
      <c r="N608" s="397"/>
      <c r="O608" s="420">
        <v>7000000</v>
      </c>
      <c r="P608" s="392"/>
      <c r="Q608" s="414" t="s">
        <v>948</v>
      </c>
    </row>
    <row r="609" spans="1:17" s="394" customFormat="1" ht="42" customHeight="1" x14ac:dyDescent="0.25">
      <c r="A609" s="432">
        <f t="shared" si="2"/>
        <v>33</v>
      </c>
      <c r="B609" s="432" t="s">
        <v>793</v>
      </c>
      <c r="C609" s="424" t="s">
        <v>1470</v>
      </c>
      <c r="D609" s="464" t="s">
        <v>1846</v>
      </c>
      <c r="E609" s="464" t="s">
        <v>1847</v>
      </c>
      <c r="F609" s="464" t="s">
        <v>1848</v>
      </c>
      <c r="G609" s="425"/>
      <c r="H609" s="425"/>
      <c r="I609" s="425"/>
      <c r="J609" s="432" t="s">
        <v>49</v>
      </c>
      <c r="K609" s="425"/>
      <c r="L609" s="465" t="s">
        <v>16</v>
      </c>
      <c r="M609" s="425" t="s">
        <v>239</v>
      </c>
      <c r="N609" s="466"/>
      <c r="O609" s="427">
        <v>19050000</v>
      </c>
      <c r="P609" s="427"/>
      <c r="Q609" s="414" t="s">
        <v>948</v>
      </c>
    </row>
    <row r="610" spans="1:17" s="394" customFormat="1" ht="50.25" customHeight="1" x14ac:dyDescent="0.25">
      <c r="A610" s="432">
        <f t="shared" si="2"/>
        <v>34</v>
      </c>
      <c r="B610" s="405" t="s">
        <v>1849</v>
      </c>
      <c r="C610" s="395" t="s">
        <v>1850</v>
      </c>
      <c r="D610" s="388" t="s">
        <v>1851</v>
      </c>
      <c r="E610" s="388" t="s">
        <v>1847</v>
      </c>
      <c r="F610" s="388" t="s">
        <v>1852</v>
      </c>
      <c r="G610" s="389"/>
      <c r="H610" s="389"/>
      <c r="I610" s="389"/>
      <c r="J610" s="385" t="s">
        <v>49</v>
      </c>
      <c r="K610" s="422"/>
      <c r="L610" s="428" t="s">
        <v>16</v>
      </c>
      <c r="M610" s="389" t="s">
        <v>239</v>
      </c>
      <c r="N610" s="397"/>
      <c r="O610" s="392">
        <v>19050000</v>
      </c>
      <c r="P610" s="392"/>
      <c r="Q610" s="414" t="s">
        <v>948</v>
      </c>
    </row>
    <row r="611" spans="1:17" s="394" customFormat="1" ht="45" x14ac:dyDescent="0.25">
      <c r="A611" s="432">
        <v>33</v>
      </c>
      <c r="B611" s="385" t="s">
        <v>793</v>
      </c>
      <c r="C611" s="395" t="s">
        <v>1470</v>
      </c>
      <c r="D611" s="388" t="s">
        <v>1853</v>
      </c>
      <c r="E611" s="388" t="s">
        <v>1847</v>
      </c>
      <c r="F611" s="388" t="s">
        <v>1854</v>
      </c>
      <c r="G611" s="388"/>
      <c r="H611" s="388"/>
      <c r="I611" s="388"/>
      <c r="J611" s="419" t="s">
        <v>49</v>
      </c>
      <c r="K611" s="388"/>
      <c r="L611" s="391" t="s">
        <v>16</v>
      </c>
      <c r="M611" s="388" t="s">
        <v>239</v>
      </c>
      <c r="N611" s="397"/>
      <c r="O611" s="392">
        <v>19050000</v>
      </c>
      <c r="P611" s="392"/>
      <c r="Q611" s="414" t="s">
        <v>948</v>
      </c>
    </row>
    <row r="612" spans="1:17" s="394" customFormat="1" ht="75" x14ac:dyDescent="0.25">
      <c r="A612" s="432">
        <f t="shared" si="2"/>
        <v>34</v>
      </c>
      <c r="B612" s="421">
        <v>0.83472222222222225</v>
      </c>
      <c r="C612" s="395" t="s">
        <v>1855</v>
      </c>
      <c r="D612" s="388" t="s">
        <v>1856</v>
      </c>
      <c r="E612" s="388" t="s">
        <v>1857</v>
      </c>
      <c r="F612" s="388" t="s">
        <v>1858</v>
      </c>
      <c r="G612" s="389"/>
      <c r="H612" s="389"/>
      <c r="I612" s="389"/>
      <c r="J612" s="385" t="s">
        <v>49</v>
      </c>
      <c r="K612" s="389"/>
      <c r="L612" s="391" t="s">
        <v>16</v>
      </c>
      <c r="M612" s="389" t="s">
        <v>239</v>
      </c>
      <c r="N612" s="397"/>
      <c r="O612" s="420">
        <v>7000000</v>
      </c>
      <c r="P612" s="392"/>
      <c r="Q612" s="414" t="s">
        <v>948</v>
      </c>
    </row>
    <row r="613" spans="1:17" s="394" customFormat="1" ht="30" x14ac:dyDescent="0.25">
      <c r="A613" s="432">
        <f t="shared" si="2"/>
        <v>35</v>
      </c>
      <c r="B613" s="421">
        <v>0.29722222222222222</v>
      </c>
      <c r="C613" s="395" t="s">
        <v>1859</v>
      </c>
      <c r="D613" s="389" t="s">
        <v>1860</v>
      </c>
      <c r="E613" s="399" t="s">
        <v>1861</v>
      </c>
      <c r="F613" s="389" t="s">
        <v>1858</v>
      </c>
      <c r="G613" s="389"/>
      <c r="H613" s="389"/>
      <c r="I613" s="389"/>
      <c r="J613" s="385" t="s">
        <v>49</v>
      </c>
      <c r="K613" s="389"/>
      <c r="L613" s="391" t="s">
        <v>16</v>
      </c>
      <c r="M613" s="389" t="s">
        <v>239</v>
      </c>
      <c r="N613" s="397"/>
      <c r="O613" s="420">
        <v>7000000</v>
      </c>
      <c r="P613" s="392"/>
      <c r="Q613" s="414" t="s">
        <v>948</v>
      </c>
    </row>
    <row r="614" spans="1:17" s="394" customFormat="1" ht="30" x14ac:dyDescent="0.25">
      <c r="A614" s="432">
        <v>34</v>
      </c>
      <c r="B614" s="405" t="s">
        <v>531</v>
      </c>
      <c r="C614" s="395" t="s">
        <v>1677</v>
      </c>
      <c r="D614" s="388" t="s">
        <v>1862</v>
      </c>
      <c r="E614" s="388" t="s">
        <v>1863</v>
      </c>
      <c r="F614" s="388" t="s">
        <v>1858</v>
      </c>
      <c r="G614" s="388"/>
      <c r="H614" s="388"/>
      <c r="I614" s="388"/>
      <c r="J614" s="419" t="s">
        <v>49</v>
      </c>
      <c r="K614" s="388"/>
      <c r="L614" s="391" t="s">
        <v>16</v>
      </c>
      <c r="M614" s="388" t="s">
        <v>239</v>
      </c>
      <c r="N614" s="397"/>
      <c r="O614" s="420">
        <v>7000000</v>
      </c>
      <c r="P614" s="392"/>
      <c r="Q614" s="414" t="s">
        <v>948</v>
      </c>
    </row>
    <row r="615" spans="1:17" s="394" customFormat="1" ht="30" x14ac:dyDescent="0.25">
      <c r="A615" s="432">
        <f t="shared" si="2"/>
        <v>35</v>
      </c>
      <c r="B615" s="467">
        <v>0.21111111111111111</v>
      </c>
      <c r="C615" s="395" t="s">
        <v>1864</v>
      </c>
      <c r="D615" s="399" t="s">
        <v>1865</v>
      </c>
      <c r="E615" s="468" t="s">
        <v>1866</v>
      </c>
      <c r="F615" s="468" t="s">
        <v>1858</v>
      </c>
      <c r="G615" s="469"/>
      <c r="H615" s="469"/>
      <c r="I615" s="469"/>
      <c r="J615" s="470" t="s">
        <v>49</v>
      </c>
      <c r="K615" s="469"/>
      <c r="L615" s="471" t="s">
        <v>16</v>
      </c>
      <c r="M615" s="469" t="s">
        <v>239</v>
      </c>
      <c r="N615" s="397"/>
      <c r="O615" s="420">
        <v>7000000</v>
      </c>
      <c r="P615" s="472"/>
      <c r="Q615" s="414" t="s">
        <v>948</v>
      </c>
    </row>
    <row r="616" spans="1:17" s="394" customFormat="1" ht="30" x14ac:dyDescent="0.25">
      <c r="A616" s="432">
        <f t="shared" si="2"/>
        <v>36</v>
      </c>
      <c r="B616" s="421">
        <v>0.54583333333333328</v>
      </c>
      <c r="C616" s="395" t="s">
        <v>1832</v>
      </c>
      <c r="D616" s="388" t="s">
        <v>1867</v>
      </c>
      <c r="E616" s="388" t="s">
        <v>1868</v>
      </c>
      <c r="F616" s="388" t="s">
        <v>1869</v>
      </c>
      <c r="G616" s="389"/>
      <c r="H616" s="389"/>
      <c r="I616" s="389"/>
      <c r="J616" s="385" t="s">
        <v>49</v>
      </c>
      <c r="K616" s="389"/>
      <c r="L616" s="391" t="s">
        <v>16</v>
      </c>
      <c r="M616" s="389" t="s">
        <v>239</v>
      </c>
      <c r="N616" s="397"/>
      <c r="O616" s="420">
        <v>7000000</v>
      </c>
      <c r="P616" s="392"/>
      <c r="Q616" s="414" t="s">
        <v>948</v>
      </c>
    </row>
    <row r="617" spans="1:17" s="394" customFormat="1" ht="60" x14ac:dyDescent="0.25">
      <c r="A617" s="432">
        <v>35</v>
      </c>
      <c r="B617" s="405" t="s">
        <v>1870</v>
      </c>
      <c r="C617" s="395" t="s">
        <v>423</v>
      </c>
      <c r="D617" s="388" t="s">
        <v>1871</v>
      </c>
      <c r="E617" s="388" t="s">
        <v>1872</v>
      </c>
      <c r="F617" s="388" t="s">
        <v>1873</v>
      </c>
      <c r="G617" s="388"/>
      <c r="H617" s="388"/>
      <c r="I617" s="388"/>
      <c r="J617" s="419" t="s">
        <v>49</v>
      </c>
      <c r="K617" s="419"/>
      <c r="L617" s="391" t="s">
        <v>16</v>
      </c>
      <c r="M617" s="388" t="s">
        <v>1874</v>
      </c>
      <c r="N617" s="397"/>
      <c r="O617" s="420">
        <v>7000000</v>
      </c>
      <c r="P617" s="392"/>
      <c r="Q617" s="414" t="s">
        <v>948</v>
      </c>
    </row>
    <row r="618" spans="1:17" s="394" customFormat="1" ht="42" customHeight="1" x14ac:dyDescent="0.25">
      <c r="A618" s="432">
        <f t="shared" si="2"/>
        <v>36</v>
      </c>
      <c r="B618" s="473" t="s">
        <v>906</v>
      </c>
      <c r="C618" s="407" t="s">
        <v>1875</v>
      </c>
      <c r="D618" s="388" t="s">
        <v>1876</v>
      </c>
      <c r="E618" s="388" t="s">
        <v>1877</v>
      </c>
      <c r="F618" s="388" t="s">
        <v>1878</v>
      </c>
      <c r="G618" s="389"/>
      <c r="H618" s="389"/>
      <c r="I618" s="389"/>
      <c r="J618" s="385" t="s">
        <v>49</v>
      </c>
      <c r="K618" s="385" t="s">
        <v>49</v>
      </c>
      <c r="L618" s="391" t="s">
        <v>16</v>
      </c>
      <c r="M618" s="389" t="s">
        <v>1874</v>
      </c>
      <c r="N618" s="397"/>
      <c r="O618" s="420">
        <v>7000000</v>
      </c>
      <c r="P618" s="392"/>
      <c r="Q618" s="414" t="s">
        <v>948</v>
      </c>
    </row>
    <row r="619" spans="1:17" s="394" customFormat="1" ht="60" customHeight="1" x14ac:dyDescent="0.25">
      <c r="A619" s="432">
        <f t="shared" si="2"/>
        <v>37</v>
      </c>
      <c r="B619" s="405" t="s">
        <v>1646</v>
      </c>
      <c r="C619" s="395" t="s">
        <v>1647</v>
      </c>
      <c r="D619" s="388" t="s">
        <v>1879</v>
      </c>
      <c r="E619" s="388" t="s">
        <v>1880</v>
      </c>
      <c r="F619" s="388" t="s">
        <v>1881</v>
      </c>
      <c r="G619" s="389"/>
      <c r="H619" s="389"/>
      <c r="I619" s="389"/>
      <c r="J619" s="385" t="s">
        <v>49</v>
      </c>
      <c r="K619" s="385"/>
      <c r="L619" s="391" t="s">
        <v>16</v>
      </c>
      <c r="M619" s="389" t="s">
        <v>1882</v>
      </c>
      <c r="N619" s="397"/>
      <c r="O619" s="420">
        <v>5000000</v>
      </c>
      <c r="P619" s="392"/>
      <c r="Q619" s="414" t="s">
        <v>948</v>
      </c>
    </row>
    <row r="620" spans="1:17" s="394" customFormat="1" ht="75" x14ac:dyDescent="0.25">
      <c r="A620" s="432">
        <v>36</v>
      </c>
      <c r="B620" s="405" t="s">
        <v>1646</v>
      </c>
      <c r="C620" s="395" t="s">
        <v>1647</v>
      </c>
      <c r="D620" s="388" t="s">
        <v>1883</v>
      </c>
      <c r="E620" s="388" t="s">
        <v>1884</v>
      </c>
      <c r="F620" s="388" t="s">
        <v>1881</v>
      </c>
      <c r="G620" s="388"/>
      <c r="H620" s="388"/>
      <c r="I620" s="388"/>
      <c r="J620" s="419" t="s">
        <v>49</v>
      </c>
      <c r="K620" s="419"/>
      <c r="L620" s="391" t="s">
        <v>16</v>
      </c>
      <c r="M620" s="388" t="s">
        <v>1874</v>
      </c>
      <c r="N620" s="397"/>
      <c r="O620" s="420">
        <v>6000000</v>
      </c>
      <c r="P620" s="392"/>
      <c r="Q620" s="414" t="s">
        <v>948</v>
      </c>
    </row>
    <row r="621" spans="1:17" s="394" customFormat="1" x14ac:dyDescent="0.25">
      <c r="A621" s="432">
        <f t="shared" si="2"/>
        <v>37</v>
      </c>
      <c r="B621" s="405" t="s">
        <v>1885</v>
      </c>
      <c r="C621" s="395" t="s">
        <v>1886</v>
      </c>
      <c r="D621" s="389" t="s">
        <v>1887</v>
      </c>
      <c r="E621" s="389" t="s">
        <v>1888</v>
      </c>
      <c r="F621" s="388" t="s">
        <v>152</v>
      </c>
      <c r="G621" s="389"/>
      <c r="H621" s="389"/>
      <c r="I621" s="389"/>
      <c r="J621" s="385" t="s">
        <v>49</v>
      </c>
      <c r="K621" s="385"/>
      <c r="L621" s="391" t="s">
        <v>16</v>
      </c>
      <c r="M621" s="389" t="s">
        <v>1889</v>
      </c>
      <c r="N621" s="397"/>
      <c r="O621" s="392">
        <v>6000000</v>
      </c>
      <c r="P621" s="392"/>
      <c r="Q621" s="414" t="s">
        <v>948</v>
      </c>
    </row>
    <row r="622" spans="1:17" s="394" customFormat="1" ht="75" x14ac:dyDescent="0.25">
      <c r="A622" s="432">
        <f t="shared" si="2"/>
        <v>38</v>
      </c>
      <c r="B622" s="405" t="s">
        <v>1646</v>
      </c>
      <c r="C622" s="395" t="s">
        <v>1890</v>
      </c>
      <c r="D622" s="388" t="s">
        <v>1891</v>
      </c>
      <c r="E622" s="388" t="s">
        <v>1892</v>
      </c>
      <c r="F622" s="388" t="s">
        <v>1893</v>
      </c>
      <c r="G622" s="389"/>
      <c r="H622" s="389"/>
      <c r="I622" s="389"/>
      <c r="J622" s="385" t="s">
        <v>49</v>
      </c>
      <c r="K622" s="385"/>
      <c r="L622" s="391" t="s">
        <v>16</v>
      </c>
      <c r="M622" s="389" t="s">
        <v>1882</v>
      </c>
      <c r="N622" s="397"/>
      <c r="O622" s="420">
        <v>5000000</v>
      </c>
      <c r="P622" s="392"/>
      <c r="Q622" s="414" t="s">
        <v>948</v>
      </c>
    </row>
    <row r="623" spans="1:17" s="394" customFormat="1" ht="81" customHeight="1" x14ac:dyDescent="0.25">
      <c r="A623" s="432">
        <v>37</v>
      </c>
      <c r="B623" s="454" t="s">
        <v>1646</v>
      </c>
      <c r="C623" s="395" t="s">
        <v>1647</v>
      </c>
      <c r="D623" s="399" t="s">
        <v>1894</v>
      </c>
      <c r="E623" s="399" t="s">
        <v>1895</v>
      </c>
      <c r="F623" s="388" t="s">
        <v>1893</v>
      </c>
      <c r="G623" s="401"/>
      <c r="H623" s="401"/>
      <c r="I623" s="401"/>
      <c r="J623" s="409" t="s">
        <v>49</v>
      </c>
      <c r="K623" s="409"/>
      <c r="L623" s="396" t="s">
        <v>16</v>
      </c>
      <c r="M623" s="401" t="s">
        <v>1882</v>
      </c>
      <c r="N623" s="402"/>
      <c r="O623" s="402">
        <v>5000000</v>
      </c>
      <c r="P623" s="402"/>
      <c r="Q623" s="414" t="s">
        <v>948</v>
      </c>
    </row>
    <row r="624" spans="1:17" s="394" customFormat="1" ht="45" x14ac:dyDescent="0.25">
      <c r="A624" s="432">
        <f t="shared" si="2"/>
        <v>38</v>
      </c>
      <c r="B624" s="474" t="s">
        <v>1653</v>
      </c>
      <c r="C624" s="412" t="s">
        <v>1654</v>
      </c>
      <c r="D624" s="388" t="s">
        <v>1896</v>
      </c>
      <c r="E624" s="388" t="s">
        <v>1897</v>
      </c>
      <c r="F624" s="388" t="s">
        <v>1898</v>
      </c>
      <c r="G624" s="419" t="s">
        <v>49</v>
      </c>
      <c r="H624" s="419" t="s">
        <v>49</v>
      </c>
      <c r="I624" s="419" t="s">
        <v>49</v>
      </c>
      <c r="J624" s="419" t="s">
        <v>49</v>
      </c>
      <c r="K624" s="419" t="s">
        <v>49</v>
      </c>
      <c r="L624" s="391" t="s">
        <v>16</v>
      </c>
      <c r="M624" s="388" t="s">
        <v>239</v>
      </c>
      <c r="N624" s="397"/>
      <c r="O624" s="420">
        <v>7000000</v>
      </c>
      <c r="P624" s="392"/>
      <c r="Q624" s="414" t="s">
        <v>948</v>
      </c>
    </row>
    <row r="625" spans="1:26" s="394" customFormat="1" ht="57" customHeight="1" x14ac:dyDescent="0.25">
      <c r="A625" s="432">
        <f t="shared" si="2"/>
        <v>39</v>
      </c>
      <c r="B625" s="474" t="s">
        <v>1899</v>
      </c>
      <c r="C625" s="412" t="s">
        <v>1900</v>
      </c>
      <c r="D625" s="388" t="s">
        <v>1901</v>
      </c>
      <c r="E625" s="388" t="s">
        <v>1902</v>
      </c>
      <c r="F625" s="388" t="s">
        <v>1903</v>
      </c>
      <c r="G625" s="389"/>
      <c r="H625" s="389"/>
      <c r="I625" s="389"/>
      <c r="J625" s="419" t="s">
        <v>49</v>
      </c>
      <c r="K625" s="419" t="s">
        <v>49</v>
      </c>
      <c r="L625" s="391" t="s">
        <v>16</v>
      </c>
      <c r="M625" s="388" t="s">
        <v>239</v>
      </c>
      <c r="N625" s="397"/>
      <c r="O625" s="420">
        <v>7000000</v>
      </c>
      <c r="P625" s="392"/>
      <c r="Q625" s="414" t="s">
        <v>948</v>
      </c>
    </row>
    <row r="626" spans="1:26" s="394" customFormat="1" ht="42" customHeight="1" x14ac:dyDescent="0.25">
      <c r="A626" s="432">
        <v>38</v>
      </c>
      <c r="B626" s="474" t="s">
        <v>869</v>
      </c>
      <c r="C626" s="412" t="s">
        <v>1904</v>
      </c>
      <c r="D626" s="388" t="s">
        <v>1905</v>
      </c>
      <c r="E626" s="388" t="s">
        <v>1906</v>
      </c>
      <c r="F626" s="388" t="s">
        <v>1907</v>
      </c>
      <c r="G626" s="419" t="s">
        <v>49</v>
      </c>
      <c r="H626" s="419" t="s">
        <v>49</v>
      </c>
      <c r="I626" s="419" t="s">
        <v>49</v>
      </c>
      <c r="J626" s="419" t="s">
        <v>49</v>
      </c>
      <c r="K626" s="419" t="s">
        <v>49</v>
      </c>
      <c r="L626" s="391" t="s">
        <v>16</v>
      </c>
      <c r="M626" s="388" t="s">
        <v>239</v>
      </c>
      <c r="N626" s="397"/>
      <c r="O626" s="420">
        <v>7000000</v>
      </c>
      <c r="P626" s="392"/>
      <c r="Q626" s="414" t="s">
        <v>948</v>
      </c>
    </row>
    <row r="627" spans="1:26" s="394" customFormat="1" ht="42" customHeight="1" x14ac:dyDescent="0.25">
      <c r="A627" s="432">
        <f t="shared" si="2"/>
        <v>39</v>
      </c>
      <c r="B627" s="405" t="s">
        <v>1126</v>
      </c>
      <c r="C627" s="395" t="s">
        <v>1908</v>
      </c>
      <c r="D627" s="388" t="s">
        <v>1909</v>
      </c>
      <c r="E627" s="388" t="s">
        <v>1910</v>
      </c>
      <c r="F627" s="388" t="s">
        <v>1881</v>
      </c>
      <c r="G627" s="388"/>
      <c r="H627" s="388"/>
      <c r="I627" s="388"/>
      <c r="J627" s="419" t="s">
        <v>49</v>
      </c>
      <c r="K627" s="419"/>
      <c r="L627" s="391" t="s">
        <v>16</v>
      </c>
      <c r="M627" s="388" t="s">
        <v>1882</v>
      </c>
      <c r="N627" s="397"/>
      <c r="O627" s="420">
        <v>7000000</v>
      </c>
      <c r="P627" s="392"/>
      <c r="Q627" s="414" t="s">
        <v>948</v>
      </c>
    </row>
    <row r="628" spans="1:26" s="394" customFormat="1" ht="54" customHeight="1" x14ac:dyDescent="0.25">
      <c r="A628" s="432">
        <f t="shared" si="2"/>
        <v>40</v>
      </c>
      <c r="B628" s="405" t="s">
        <v>531</v>
      </c>
      <c r="C628" s="395" t="s">
        <v>1677</v>
      </c>
      <c r="D628" s="388" t="s">
        <v>1911</v>
      </c>
      <c r="E628" s="388" t="s">
        <v>1912</v>
      </c>
      <c r="F628" s="389" t="s">
        <v>820</v>
      </c>
      <c r="G628" s="385" t="s">
        <v>49</v>
      </c>
      <c r="H628" s="385" t="s">
        <v>49</v>
      </c>
      <c r="I628" s="385" t="s">
        <v>49</v>
      </c>
      <c r="J628" s="385" t="s">
        <v>49</v>
      </c>
      <c r="K628" s="385" t="s">
        <v>49</v>
      </c>
      <c r="L628" s="391" t="s">
        <v>1913</v>
      </c>
      <c r="M628" s="389" t="s">
        <v>239</v>
      </c>
      <c r="N628" s="420"/>
      <c r="O628" s="420">
        <v>7000000</v>
      </c>
      <c r="P628" s="397"/>
      <c r="Q628" s="414" t="s">
        <v>948</v>
      </c>
    </row>
    <row r="629" spans="1:26" s="394" customFormat="1" x14ac:dyDescent="0.25">
      <c r="A629" s="432">
        <v>39</v>
      </c>
      <c r="B629" s="385" t="s">
        <v>793</v>
      </c>
      <c r="C629" s="395" t="s">
        <v>1470</v>
      </c>
      <c r="D629" s="388" t="s">
        <v>1914</v>
      </c>
      <c r="E629" s="388" t="s">
        <v>1915</v>
      </c>
      <c r="F629" s="388" t="s">
        <v>1261</v>
      </c>
      <c r="G629" s="385" t="s">
        <v>49</v>
      </c>
      <c r="H629" s="389"/>
      <c r="I629" s="389"/>
      <c r="J629" s="385" t="s">
        <v>49</v>
      </c>
      <c r="K629" s="389"/>
      <c r="L629" s="391" t="s">
        <v>1916</v>
      </c>
      <c r="M629" s="389" t="s">
        <v>210</v>
      </c>
      <c r="N629" s="397"/>
      <c r="O629" s="420">
        <v>7000000</v>
      </c>
      <c r="P629" s="392"/>
      <c r="Q629" s="414" t="s">
        <v>948</v>
      </c>
    </row>
    <row r="630" spans="1:26" s="394" customFormat="1" ht="30" x14ac:dyDescent="0.25">
      <c r="A630" s="432">
        <f t="shared" si="2"/>
        <v>40</v>
      </c>
      <c r="B630" s="405" t="s">
        <v>531</v>
      </c>
      <c r="C630" s="395" t="s">
        <v>1677</v>
      </c>
      <c r="D630" s="388" t="s">
        <v>1917</v>
      </c>
      <c r="E630" s="388" t="s">
        <v>1880</v>
      </c>
      <c r="F630" s="388" t="s">
        <v>1918</v>
      </c>
      <c r="G630" s="390" t="s">
        <v>49</v>
      </c>
      <c r="H630" s="390" t="s">
        <v>49</v>
      </c>
      <c r="I630" s="390" t="s">
        <v>49</v>
      </c>
      <c r="J630" s="390" t="s">
        <v>49</v>
      </c>
      <c r="K630" s="390" t="s">
        <v>49</v>
      </c>
      <c r="L630" s="391" t="s">
        <v>1507</v>
      </c>
      <c r="M630" s="389" t="s">
        <v>1919</v>
      </c>
      <c r="N630" s="392"/>
      <c r="O630" s="420">
        <v>7000000</v>
      </c>
      <c r="P630" s="392"/>
      <c r="Q630" s="414" t="s">
        <v>948</v>
      </c>
    </row>
    <row r="631" spans="1:26" s="394" customFormat="1" ht="30" x14ac:dyDescent="0.25">
      <c r="A631" s="432">
        <f t="shared" si="2"/>
        <v>41</v>
      </c>
      <c r="B631" s="405" t="s">
        <v>531</v>
      </c>
      <c r="C631" s="395" t="s">
        <v>1677</v>
      </c>
      <c r="D631" s="388" t="s">
        <v>1920</v>
      </c>
      <c r="E631" s="388" t="s">
        <v>1921</v>
      </c>
      <c r="F631" s="388" t="s">
        <v>1626</v>
      </c>
      <c r="G631" s="390" t="s">
        <v>49</v>
      </c>
      <c r="H631" s="390" t="s">
        <v>49</v>
      </c>
      <c r="I631" s="390" t="s">
        <v>49</v>
      </c>
      <c r="J631" s="390" t="s">
        <v>49</v>
      </c>
      <c r="K631" s="390" t="s">
        <v>49</v>
      </c>
      <c r="L631" s="391" t="s">
        <v>16</v>
      </c>
      <c r="M631" s="389" t="s">
        <v>1626</v>
      </c>
      <c r="N631" s="397"/>
      <c r="O631" s="420">
        <v>7000000</v>
      </c>
      <c r="P631" s="392"/>
      <c r="Q631" s="414" t="s">
        <v>948</v>
      </c>
    </row>
    <row r="632" spans="1:26" s="394" customFormat="1" ht="30" x14ac:dyDescent="0.25">
      <c r="A632" s="432">
        <v>40</v>
      </c>
      <c r="B632" s="385" t="s">
        <v>801</v>
      </c>
      <c r="C632" s="395" t="s">
        <v>1922</v>
      </c>
      <c r="D632" s="388" t="s">
        <v>1923</v>
      </c>
      <c r="E632" s="388" t="s">
        <v>1924</v>
      </c>
      <c r="F632" s="388" t="s">
        <v>1625</v>
      </c>
      <c r="G632" s="388"/>
      <c r="H632" s="388"/>
      <c r="I632" s="385" t="s">
        <v>49</v>
      </c>
      <c r="J632" s="385" t="s">
        <v>49</v>
      </c>
      <c r="K632" s="385"/>
      <c r="L632" s="391" t="s">
        <v>1925</v>
      </c>
      <c r="M632" s="389" t="s">
        <v>106</v>
      </c>
      <c r="N632" s="397"/>
      <c r="O632" s="392">
        <v>10000000</v>
      </c>
      <c r="P632" s="392"/>
      <c r="Q632" s="414" t="s">
        <v>948</v>
      </c>
    </row>
    <row r="633" spans="1:26" s="394" customFormat="1" ht="30" x14ac:dyDescent="0.25">
      <c r="A633" s="432">
        <f t="shared" si="2"/>
        <v>41</v>
      </c>
      <c r="B633" s="454" t="s">
        <v>794</v>
      </c>
      <c r="C633" s="395" t="s">
        <v>1926</v>
      </c>
      <c r="D633" s="399" t="s">
        <v>1927</v>
      </c>
      <c r="E633" s="399" t="s">
        <v>1928</v>
      </c>
      <c r="F633" s="399" t="s">
        <v>1261</v>
      </c>
      <c r="G633" s="390" t="s">
        <v>49</v>
      </c>
      <c r="H633" s="390" t="s">
        <v>49</v>
      </c>
      <c r="I633" s="390" t="s">
        <v>49</v>
      </c>
      <c r="J633" s="390" t="s">
        <v>49</v>
      </c>
      <c r="K633" s="390" t="s">
        <v>49</v>
      </c>
      <c r="L633" s="400" t="s">
        <v>16</v>
      </c>
      <c r="M633" s="399" t="s">
        <v>239</v>
      </c>
      <c r="N633" s="397"/>
      <c r="O633" s="402">
        <v>10000000</v>
      </c>
      <c r="P633" s="402"/>
      <c r="Q633" s="414" t="s">
        <v>948</v>
      </c>
    </row>
    <row r="634" spans="1:26" s="394" customFormat="1" ht="15.75" x14ac:dyDescent="0.25">
      <c r="A634" s="475"/>
      <c r="B634" s="476"/>
      <c r="C634" s="477"/>
      <c r="D634" s="478"/>
      <c r="E634" s="478"/>
      <c r="F634" s="478"/>
      <c r="G634" s="479"/>
      <c r="H634" s="479"/>
      <c r="I634" s="479"/>
      <c r="J634" s="479"/>
      <c r="K634" s="479"/>
      <c r="L634" s="480"/>
      <c r="M634" s="478"/>
      <c r="N634" s="481">
        <v>210883600</v>
      </c>
      <c r="O634" s="481">
        <v>237150000</v>
      </c>
      <c r="P634" s="481">
        <v>407900000</v>
      </c>
      <c r="Q634" s="482"/>
    </row>
    <row r="635" spans="1:26" s="367" customFormat="1" ht="15.75" customHeight="1" x14ac:dyDescent="0.25">
      <c r="A635" s="190"/>
      <c r="B635" s="190" t="s">
        <v>38</v>
      </c>
      <c r="C635" s="190"/>
      <c r="D635" s="192"/>
      <c r="E635" s="192"/>
      <c r="F635" s="192"/>
      <c r="G635" s="190"/>
      <c r="H635" s="190"/>
      <c r="I635" s="190"/>
      <c r="J635" s="190"/>
      <c r="K635" s="190"/>
      <c r="L635" s="192"/>
      <c r="M635" s="190"/>
      <c r="N635" s="190"/>
      <c r="O635" s="190"/>
      <c r="P635" s="190"/>
      <c r="Q635" s="190"/>
    </row>
    <row r="636" spans="1:26" s="367" customFormat="1" ht="15.75" customHeight="1" x14ac:dyDescent="0.25">
      <c r="A636" s="844" t="s">
        <v>41</v>
      </c>
      <c r="B636" s="842"/>
      <c r="C636" s="842"/>
      <c r="D636" s="842"/>
      <c r="E636" s="842"/>
      <c r="F636" s="842"/>
      <c r="G636" s="842"/>
      <c r="H636" s="842"/>
      <c r="I636" s="842"/>
      <c r="J636" s="842"/>
      <c r="K636" s="842"/>
      <c r="L636" s="842"/>
      <c r="M636" s="842"/>
      <c r="N636" s="842"/>
      <c r="O636" s="842"/>
      <c r="P636" s="842"/>
      <c r="Q636" s="843"/>
    </row>
    <row r="637" spans="1:26" s="485" customFormat="1" ht="30" x14ac:dyDescent="0.25">
      <c r="A637" s="385">
        <v>1</v>
      </c>
      <c r="B637" s="405" t="s">
        <v>531</v>
      </c>
      <c r="C637" s="395" t="s">
        <v>1677</v>
      </c>
      <c r="D637" s="388" t="s">
        <v>2177</v>
      </c>
      <c r="E637" s="389" t="s">
        <v>2043</v>
      </c>
      <c r="F637" s="389" t="s">
        <v>152</v>
      </c>
      <c r="G637" s="389"/>
      <c r="H637" s="389"/>
      <c r="I637" s="385"/>
      <c r="J637" s="385" t="s">
        <v>49</v>
      </c>
      <c r="K637" s="389"/>
      <c r="L637" s="428" t="s">
        <v>16</v>
      </c>
      <c r="M637" s="389" t="s">
        <v>748</v>
      </c>
      <c r="N637" s="392">
        <v>27021132</v>
      </c>
      <c r="O637" s="397"/>
      <c r="P637" s="483"/>
      <c r="Q637" s="484"/>
    </row>
    <row r="638" spans="1:26" s="485" customFormat="1" ht="30" x14ac:dyDescent="0.25">
      <c r="A638" s="385">
        <f>A637+1</f>
        <v>2</v>
      </c>
      <c r="B638" s="405" t="s">
        <v>531</v>
      </c>
      <c r="C638" s="395" t="s">
        <v>1677</v>
      </c>
      <c r="D638" s="389" t="s">
        <v>2178</v>
      </c>
      <c r="E638" s="389" t="s">
        <v>2043</v>
      </c>
      <c r="F638" s="389" t="s">
        <v>152</v>
      </c>
      <c r="G638" s="390" t="s">
        <v>49</v>
      </c>
      <c r="H638" s="390" t="s">
        <v>49</v>
      </c>
      <c r="I638" s="390" t="s">
        <v>49</v>
      </c>
      <c r="J638" s="390" t="s">
        <v>49</v>
      </c>
      <c r="K638" s="390" t="s">
        <v>49</v>
      </c>
      <c r="L638" s="428" t="s">
        <v>2179</v>
      </c>
      <c r="M638" s="389" t="s">
        <v>2180</v>
      </c>
      <c r="N638" s="392">
        <v>170800000</v>
      </c>
      <c r="O638" s="397"/>
      <c r="P638" s="483"/>
      <c r="Q638" s="484"/>
    </row>
    <row r="639" spans="1:26" s="485" customFormat="1" ht="30" x14ac:dyDescent="0.25">
      <c r="A639" s="385">
        <v>3</v>
      </c>
      <c r="B639" s="405" t="s">
        <v>531</v>
      </c>
      <c r="C639" s="395" t="s">
        <v>1677</v>
      </c>
      <c r="D639" s="468" t="s">
        <v>2117</v>
      </c>
      <c r="E639" s="468" t="s">
        <v>1834</v>
      </c>
      <c r="F639" s="468" t="s">
        <v>1835</v>
      </c>
      <c r="G639" s="390"/>
      <c r="H639" s="390"/>
      <c r="I639" s="390"/>
      <c r="J639" s="390" t="s">
        <v>49</v>
      </c>
      <c r="K639" s="390" t="s">
        <v>49</v>
      </c>
      <c r="L639" s="471" t="s">
        <v>16</v>
      </c>
      <c r="M639" s="469" t="s">
        <v>239</v>
      </c>
      <c r="N639" s="397"/>
      <c r="O639" s="486">
        <v>1500000</v>
      </c>
      <c r="P639" s="472"/>
      <c r="Q639" s="403" t="s">
        <v>948</v>
      </c>
      <c r="R639" s="487"/>
      <c r="S639" s="487"/>
      <c r="T639" s="487"/>
      <c r="U639" s="487"/>
      <c r="V639" s="487"/>
      <c r="W639" s="487"/>
      <c r="X639" s="487"/>
      <c r="Y639" s="487"/>
      <c r="Z639" s="487"/>
    </row>
    <row r="640" spans="1:26" s="488" customFormat="1" ht="30" x14ac:dyDescent="0.25">
      <c r="A640" s="385">
        <v>2</v>
      </c>
      <c r="B640" s="405" t="s">
        <v>531</v>
      </c>
      <c r="C640" s="395" t="s">
        <v>1677</v>
      </c>
      <c r="D640" s="401" t="s">
        <v>2118</v>
      </c>
      <c r="E640" s="399" t="s">
        <v>2119</v>
      </c>
      <c r="F640" s="388" t="s">
        <v>2120</v>
      </c>
      <c r="G640" s="401"/>
      <c r="H640" s="401"/>
      <c r="I640" s="401"/>
      <c r="J640" s="409" t="s">
        <v>49</v>
      </c>
      <c r="K640" s="401"/>
      <c r="L640" s="396" t="s">
        <v>16</v>
      </c>
      <c r="M640" s="401" t="s">
        <v>239</v>
      </c>
      <c r="N640" s="397"/>
      <c r="O640" s="402">
        <v>1200000</v>
      </c>
      <c r="P640" s="472"/>
      <c r="Q640" s="403" t="s">
        <v>948</v>
      </c>
    </row>
    <row r="641" spans="1:17" s="485" customFormat="1" ht="45" x14ac:dyDescent="0.25">
      <c r="A641" s="385">
        <f t="shared" ref="A641" si="3">A640+1</f>
        <v>3</v>
      </c>
      <c r="B641" s="405" t="s">
        <v>531</v>
      </c>
      <c r="C641" s="395" t="s">
        <v>1677</v>
      </c>
      <c r="D641" s="401" t="s">
        <v>2121</v>
      </c>
      <c r="E641" s="468" t="s">
        <v>2122</v>
      </c>
      <c r="F641" s="468" t="s">
        <v>2123</v>
      </c>
      <c r="G641" s="469"/>
      <c r="H641" s="469"/>
      <c r="I641" s="469"/>
      <c r="J641" s="409" t="s">
        <v>49</v>
      </c>
      <c r="K641" s="409"/>
      <c r="L641" s="396" t="s">
        <v>16</v>
      </c>
      <c r="M641" s="401" t="s">
        <v>239</v>
      </c>
      <c r="N641" s="397"/>
      <c r="O641" s="402">
        <v>1200000</v>
      </c>
      <c r="P641" s="472"/>
      <c r="Q641" s="403" t="s">
        <v>948</v>
      </c>
    </row>
    <row r="642" spans="1:17" s="485" customFormat="1" ht="30" x14ac:dyDescent="0.25">
      <c r="A642" s="385">
        <v>4</v>
      </c>
      <c r="B642" s="405" t="s">
        <v>531</v>
      </c>
      <c r="C642" s="395" t="s">
        <v>1677</v>
      </c>
      <c r="D642" s="388" t="s">
        <v>2124</v>
      </c>
      <c r="E642" s="388" t="s">
        <v>2125</v>
      </c>
      <c r="F642" s="388" t="s">
        <v>2126</v>
      </c>
      <c r="G642" s="388"/>
      <c r="H642" s="388"/>
      <c r="I642" s="388"/>
      <c r="J642" s="419" t="s">
        <v>49</v>
      </c>
      <c r="K642" s="388"/>
      <c r="L642" s="391" t="s">
        <v>16</v>
      </c>
      <c r="M642" s="388" t="s">
        <v>239</v>
      </c>
      <c r="N642" s="397"/>
      <c r="O642" s="392">
        <v>3000000</v>
      </c>
      <c r="P642" s="392"/>
      <c r="Q642" s="403" t="s">
        <v>948</v>
      </c>
    </row>
    <row r="643" spans="1:17" s="485" customFormat="1" ht="30" x14ac:dyDescent="0.25">
      <c r="A643" s="385">
        <v>3</v>
      </c>
      <c r="B643" s="405" t="s">
        <v>531</v>
      </c>
      <c r="C643" s="395" t="s">
        <v>1677</v>
      </c>
      <c r="D643" s="389" t="s">
        <v>2127</v>
      </c>
      <c r="E643" s="388" t="s">
        <v>2128</v>
      </c>
      <c r="F643" s="388" t="s">
        <v>2129</v>
      </c>
      <c r="G643" s="389"/>
      <c r="H643" s="389"/>
      <c r="I643" s="389"/>
      <c r="J643" s="385" t="s">
        <v>49</v>
      </c>
      <c r="K643" s="385"/>
      <c r="L643" s="391" t="s">
        <v>16</v>
      </c>
      <c r="M643" s="389" t="s">
        <v>239</v>
      </c>
      <c r="N643" s="397"/>
      <c r="O643" s="392">
        <v>2500000</v>
      </c>
      <c r="P643" s="392"/>
      <c r="Q643" s="403" t="s">
        <v>948</v>
      </c>
    </row>
    <row r="644" spans="1:17" s="485" customFormat="1" ht="60" x14ac:dyDescent="0.25">
      <c r="A644" s="385">
        <f t="shared" ref="A644" si="4">A643+1</f>
        <v>4</v>
      </c>
      <c r="B644" s="442" t="s">
        <v>1870</v>
      </c>
      <c r="C644" s="395" t="s">
        <v>423</v>
      </c>
      <c r="D644" s="443" t="s">
        <v>2130</v>
      </c>
      <c r="E644" s="407" t="s">
        <v>2131</v>
      </c>
      <c r="F644" s="443" t="s">
        <v>1626</v>
      </c>
      <c r="G644" s="443"/>
      <c r="H644" s="443"/>
      <c r="I644" s="443"/>
      <c r="J644" s="453" t="s">
        <v>49</v>
      </c>
      <c r="K644" s="453"/>
      <c r="L644" s="489" t="s">
        <v>1626</v>
      </c>
      <c r="M644" s="443" t="s">
        <v>1626</v>
      </c>
      <c r="N644" s="402"/>
      <c r="O644" s="445">
        <v>12000000</v>
      </c>
      <c r="P644" s="445"/>
      <c r="Q644" s="403" t="s">
        <v>948</v>
      </c>
    </row>
    <row r="645" spans="1:17" s="485" customFormat="1" ht="42" customHeight="1" x14ac:dyDescent="0.25">
      <c r="A645" s="385">
        <v>5</v>
      </c>
      <c r="B645" s="405" t="s">
        <v>531</v>
      </c>
      <c r="C645" s="395" t="s">
        <v>1677</v>
      </c>
      <c r="D645" s="388" t="s">
        <v>2132</v>
      </c>
      <c r="E645" s="388" t="s">
        <v>1880</v>
      </c>
      <c r="F645" s="388" t="s">
        <v>2133</v>
      </c>
      <c r="G645" s="388"/>
      <c r="H645" s="388"/>
      <c r="I645" s="388"/>
      <c r="J645" s="419" t="s">
        <v>49</v>
      </c>
      <c r="K645" s="419"/>
      <c r="L645" s="391" t="s">
        <v>16</v>
      </c>
      <c r="M645" s="388" t="s">
        <v>1732</v>
      </c>
      <c r="N645" s="397"/>
      <c r="O645" s="420">
        <v>7000000</v>
      </c>
      <c r="P645" s="392"/>
      <c r="Q645" s="403" t="s">
        <v>948</v>
      </c>
    </row>
    <row r="646" spans="1:17" s="485" customFormat="1" ht="42" customHeight="1" x14ac:dyDescent="0.25">
      <c r="A646" s="385">
        <v>4</v>
      </c>
      <c r="B646" s="442" t="s">
        <v>1870</v>
      </c>
      <c r="C646" s="395" t="s">
        <v>423</v>
      </c>
      <c r="D646" s="401" t="s">
        <v>2134</v>
      </c>
      <c r="E646" s="401" t="s">
        <v>2135</v>
      </c>
      <c r="F646" s="391" t="s">
        <v>16</v>
      </c>
      <c r="G646" s="422"/>
      <c r="H646" s="422"/>
      <c r="I646" s="409" t="s">
        <v>49</v>
      </c>
      <c r="J646" s="409"/>
      <c r="K646" s="409"/>
      <c r="L646" s="489" t="s">
        <v>1626</v>
      </c>
      <c r="M646" s="401" t="s">
        <v>649</v>
      </c>
      <c r="N646" s="397"/>
      <c r="O646" s="436">
        <v>12000000</v>
      </c>
      <c r="P646" s="397"/>
      <c r="Q646" s="403" t="s">
        <v>948</v>
      </c>
    </row>
    <row r="647" spans="1:17" s="485" customFormat="1" ht="42" customHeight="1" x14ac:dyDescent="0.25">
      <c r="A647" s="385">
        <f t="shared" ref="A647" si="5">A646+1</f>
        <v>5</v>
      </c>
      <c r="B647" s="442" t="s">
        <v>1870</v>
      </c>
      <c r="C647" s="395" t="s">
        <v>423</v>
      </c>
      <c r="D647" s="388" t="s">
        <v>2136</v>
      </c>
      <c r="E647" s="388" t="s">
        <v>2137</v>
      </c>
      <c r="F647" s="391" t="s">
        <v>16</v>
      </c>
      <c r="G647" s="389"/>
      <c r="H647" s="389"/>
      <c r="I647" s="389"/>
      <c r="J647" s="385" t="s">
        <v>49</v>
      </c>
      <c r="K647" s="385" t="s">
        <v>49</v>
      </c>
      <c r="L647" s="489" t="s">
        <v>1626</v>
      </c>
      <c r="M647" s="389" t="s">
        <v>649</v>
      </c>
      <c r="N647" s="397"/>
      <c r="O647" s="420">
        <v>12000000</v>
      </c>
      <c r="P647" s="392"/>
      <c r="Q647" s="403" t="s">
        <v>948</v>
      </c>
    </row>
    <row r="648" spans="1:17" s="485" customFormat="1" ht="45" x14ac:dyDescent="0.25">
      <c r="A648" s="385">
        <v>6</v>
      </c>
      <c r="B648" s="405" t="s">
        <v>531</v>
      </c>
      <c r="C648" s="395" t="s">
        <v>1677</v>
      </c>
      <c r="D648" s="399" t="s">
        <v>2138</v>
      </c>
      <c r="E648" s="468" t="s">
        <v>2139</v>
      </c>
      <c r="F648" s="468" t="s">
        <v>2140</v>
      </c>
      <c r="G648" s="469"/>
      <c r="H648" s="469"/>
      <c r="I648" s="469"/>
      <c r="J648" s="419" t="s">
        <v>49</v>
      </c>
      <c r="K648" s="419" t="s">
        <v>49</v>
      </c>
      <c r="L648" s="391" t="s">
        <v>16</v>
      </c>
      <c r="M648" s="388" t="s">
        <v>239</v>
      </c>
      <c r="N648" s="397"/>
      <c r="O648" s="420">
        <v>3400000</v>
      </c>
      <c r="P648" s="472"/>
      <c r="Q648" s="403" t="s">
        <v>948</v>
      </c>
    </row>
    <row r="649" spans="1:17" s="485" customFormat="1" ht="30" x14ac:dyDescent="0.25">
      <c r="A649" s="385">
        <v>5</v>
      </c>
      <c r="B649" s="405" t="s">
        <v>531</v>
      </c>
      <c r="C649" s="395" t="s">
        <v>1677</v>
      </c>
      <c r="D649" s="399" t="s">
        <v>2141</v>
      </c>
      <c r="E649" s="399" t="s">
        <v>2142</v>
      </c>
      <c r="F649" s="399" t="s">
        <v>1881</v>
      </c>
      <c r="G649" s="399"/>
      <c r="H649" s="399"/>
      <c r="I649" s="399"/>
      <c r="J649" s="390" t="s">
        <v>49</v>
      </c>
      <c r="K649" s="399"/>
      <c r="L649" s="400" t="s">
        <v>16</v>
      </c>
      <c r="M649" s="388" t="s">
        <v>239</v>
      </c>
      <c r="N649" s="402"/>
      <c r="O649" s="402">
        <v>3000000</v>
      </c>
      <c r="P649" s="402"/>
      <c r="Q649" s="403" t="s">
        <v>948</v>
      </c>
    </row>
    <row r="650" spans="1:17" s="485" customFormat="1" ht="15.75" x14ac:dyDescent="0.25">
      <c r="A650" s="385">
        <f t="shared" ref="A650" si="6">A649+1</f>
        <v>6</v>
      </c>
      <c r="B650" s="405" t="s">
        <v>1216</v>
      </c>
      <c r="C650" s="395" t="s">
        <v>2143</v>
      </c>
      <c r="D650" s="389" t="s">
        <v>2144</v>
      </c>
      <c r="E650" s="388" t="s">
        <v>2145</v>
      </c>
      <c r="F650" s="388" t="s">
        <v>1626</v>
      </c>
      <c r="G650" s="389"/>
      <c r="H650" s="389"/>
      <c r="I650" s="389"/>
      <c r="J650" s="385" t="s">
        <v>49</v>
      </c>
      <c r="K650" s="389"/>
      <c r="L650" s="391" t="s">
        <v>1626</v>
      </c>
      <c r="M650" s="388" t="s">
        <v>2146</v>
      </c>
      <c r="N650" s="397"/>
      <c r="O650" s="420">
        <v>5000000</v>
      </c>
      <c r="P650" s="392"/>
      <c r="Q650" s="403" t="s">
        <v>948</v>
      </c>
    </row>
    <row r="651" spans="1:17" s="485" customFormat="1" ht="15.75" x14ac:dyDescent="0.25">
      <c r="A651" s="385">
        <v>7</v>
      </c>
      <c r="B651" s="405" t="s">
        <v>1216</v>
      </c>
      <c r="C651" s="395" t="s">
        <v>2143</v>
      </c>
      <c r="D651" s="388" t="s">
        <v>2147</v>
      </c>
      <c r="E651" s="388" t="s">
        <v>2148</v>
      </c>
      <c r="F651" s="388" t="s">
        <v>1626</v>
      </c>
      <c r="G651" s="389"/>
      <c r="H651" s="389"/>
      <c r="I651" s="389"/>
      <c r="J651" s="385" t="s">
        <v>49</v>
      </c>
      <c r="K651" s="389"/>
      <c r="L651" s="391" t="s">
        <v>1626</v>
      </c>
      <c r="M651" s="388" t="s">
        <v>2149</v>
      </c>
      <c r="N651" s="397"/>
      <c r="O651" s="420">
        <v>5000000</v>
      </c>
      <c r="P651" s="392"/>
      <c r="Q651" s="403" t="s">
        <v>948</v>
      </c>
    </row>
    <row r="652" spans="1:17" s="485" customFormat="1" ht="15.75" x14ac:dyDescent="0.25">
      <c r="A652" s="385">
        <v>6</v>
      </c>
      <c r="B652" s="405" t="s">
        <v>1216</v>
      </c>
      <c r="C652" s="395" t="s">
        <v>2143</v>
      </c>
      <c r="D652" s="388" t="s">
        <v>2150</v>
      </c>
      <c r="E652" s="388" t="s">
        <v>2151</v>
      </c>
      <c r="F652" s="388" t="s">
        <v>1626</v>
      </c>
      <c r="G652" s="389"/>
      <c r="H652" s="389"/>
      <c r="I652" s="389"/>
      <c r="J652" s="385" t="s">
        <v>49</v>
      </c>
      <c r="K652" s="389"/>
      <c r="L652" s="391" t="s">
        <v>1626</v>
      </c>
      <c r="M652" s="388" t="s">
        <v>2149</v>
      </c>
      <c r="N652" s="397"/>
      <c r="O652" s="420">
        <v>5000000</v>
      </c>
      <c r="P652" s="392"/>
      <c r="Q652" s="403" t="s">
        <v>948</v>
      </c>
    </row>
    <row r="653" spans="1:17" s="485" customFormat="1" ht="30" x14ac:dyDescent="0.25">
      <c r="A653" s="385">
        <f t="shared" ref="A653" si="7">A652+1</f>
        <v>7</v>
      </c>
      <c r="B653" s="405" t="s">
        <v>531</v>
      </c>
      <c r="C653" s="395" t="s">
        <v>1677</v>
      </c>
      <c r="D653" s="400" t="s">
        <v>2132</v>
      </c>
      <c r="E653" s="400" t="s">
        <v>2152</v>
      </c>
      <c r="F653" s="388" t="s">
        <v>1626</v>
      </c>
      <c r="G653" s="389"/>
      <c r="H653" s="389"/>
      <c r="I653" s="389"/>
      <c r="J653" s="385" t="s">
        <v>49</v>
      </c>
      <c r="K653" s="389"/>
      <c r="L653" s="391" t="s">
        <v>1626</v>
      </c>
      <c r="M653" s="388" t="s">
        <v>1626</v>
      </c>
      <c r="N653" s="437"/>
      <c r="O653" s="437">
        <v>3000000</v>
      </c>
      <c r="P653" s="437"/>
      <c r="Q653" s="403" t="s">
        <v>948</v>
      </c>
    </row>
    <row r="654" spans="1:17" s="485" customFormat="1" ht="30" x14ac:dyDescent="0.25">
      <c r="A654" s="385">
        <v>8</v>
      </c>
      <c r="B654" s="405" t="s">
        <v>531</v>
      </c>
      <c r="C654" s="395" t="s">
        <v>1677</v>
      </c>
      <c r="D654" s="389" t="s">
        <v>2153</v>
      </c>
      <c r="E654" s="389" t="s">
        <v>2154</v>
      </c>
      <c r="F654" s="388" t="s">
        <v>1626</v>
      </c>
      <c r="G654" s="390" t="s">
        <v>49</v>
      </c>
      <c r="H654" s="390" t="s">
        <v>49</v>
      </c>
      <c r="I654" s="390" t="s">
        <v>49</v>
      </c>
      <c r="J654" s="390" t="s">
        <v>49</v>
      </c>
      <c r="K654" s="390" t="s">
        <v>49</v>
      </c>
      <c r="L654" s="391" t="s">
        <v>1626</v>
      </c>
      <c r="M654" s="388" t="s">
        <v>1626</v>
      </c>
      <c r="N654" s="392"/>
      <c r="O654" s="392">
        <v>1200000</v>
      </c>
      <c r="P654" s="397"/>
      <c r="Q654" s="403" t="s">
        <v>948</v>
      </c>
    </row>
    <row r="655" spans="1:17" s="485" customFormat="1" ht="30" x14ac:dyDescent="0.25">
      <c r="A655" s="385">
        <v>7</v>
      </c>
      <c r="B655" s="405" t="s">
        <v>531</v>
      </c>
      <c r="C655" s="395" t="s">
        <v>1677</v>
      </c>
      <c r="D655" s="388" t="s">
        <v>2155</v>
      </c>
      <c r="E655" s="389" t="s">
        <v>2156</v>
      </c>
      <c r="F655" s="389" t="s">
        <v>2157</v>
      </c>
      <c r="G655" s="390" t="s">
        <v>49</v>
      </c>
      <c r="H655" s="390" t="s">
        <v>49</v>
      </c>
      <c r="I655" s="390" t="s">
        <v>49</v>
      </c>
      <c r="J655" s="390" t="s">
        <v>49</v>
      </c>
      <c r="K655" s="390" t="s">
        <v>49</v>
      </c>
      <c r="L655" s="391" t="s">
        <v>16</v>
      </c>
      <c r="M655" s="389" t="s">
        <v>239</v>
      </c>
      <c r="N655" s="397"/>
      <c r="O655" s="392">
        <v>2000000</v>
      </c>
      <c r="P655" s="392"/>
      <c r="Q655" s="403" t="s">
        <v>948</v>
      </c>
    </row>
    <row r="656" spans="1:17" s="485" customFormat="1" ht="52.5" customHeight="1" x14ac:dyDescent="0.25">
      <c r="A656" s="385">
        <f t="shared" ref="A656" si="8">A655+1</f>
        <v>8</v>
      </c>
      <c r="B656" s="442" t="s">
        <v>1870</v>
      </c>
      <c r="C656" s="395" t="s">
        <v>423</v>
      </c>
      <c r="D656" s="388" t="s">
        <v>2158</v>
      </c>
      <c r="E656" s="389" t="s">
        <v>2156</v>
      </c>
      <c r="F656" s="389" t="s">
        <v>2157</v>
      </c>
      <c r="G656" s="390" t="s">
        <v>49</v>
      </c>
      <c r="H656" s="390" t="s">
        <v>49</v>
      </c>
      <c r="I656" s="390" t="s">
        <v>49</v>
      </c>
      <c r="J656" s="390" t="s">
        <v>49</v>
      </c>
      <c r="K656" s="390" t="s">
        <v>49</v>
      </c>
      <c r="L656" s="391" t="s">
        <v>16</v>
      </c>
      <c r="M656" s="389" t="s">
        <v>239</v>
      </c>
      <c r="N656" s="420"/>
      <c r="O656" s="420">
        <v>1000000</v>
      </c>
      <c r="P656" s="397"/>
      <c r="Q656" s="403" t="s">
        <v>948</v>
      </c>
    </row>
    <row r="657" spans="1:26" s="485" customFormat="1" ht="63.75" customHeight="1" x14ac:dyDescent="0.25">
      <c r="A657" s="385">
        <v>9</v>
      </c>
      <c r="B657" s="442" t="s">
        <v>1870</v>
      </c>
      <c r="C657" s="395" t="s">
        <v>423</v>
      </c>
      <c r="D657" s="388" t="s">
        <v>2159</v>
      </c>
      <c r="E657" s="388" t="s">
        <v>2160</v>
      </c>
      <c r="F657" s="388" t="s">
        <v>204</v>
      </c>
      <c r="G657" s="389"/>
      <c r="H657" s="389"/>
      <c r="I657" s="385" t="s">
        <v>49</v>
      </c>
      <c r="J657" s="389"/>
      <c r="K657" s="389"/>
      <c r="L657" s="391" t="s">
        <v>1478</v>
      </c>
      <c r="M657" s="389" t="s">
        <v>1626</v>
      </c>
      <c r="N657" s="392"/>
      <c r="O657" s="392">
        <v>5000000</v>
      </c>
      <c r="P657" s="420"/>
      <c r="Q657" s="403" t="s">
        <v>948</v>
      </c>
    </row>
    <row r="658" spans="1:26" s="485" customFormat="1" ht="57.75" customHeight="1" x14ac:dyDescent="0.25">
      <c r="A658" s="385">
        <v>8</v>
      </c>
      <c r="B658" s="405" t="s">
        <v>531</v>
      </c>
      <c r="C658" s="395" t="s">
        <v>1677</v>
      </c>
      <c r="D658" s="388" t="s">
        <v>2161</v>
      </c>
      <c r="E658" s="388" t="s">
        <v>2162</v>
      </c>
      <c r="F658" s="388" t="s">
        <v>2163</v>
      </c>
      <c r="G658" s="385"/>
      <c r="H658" s="385"/>
      <c r="I658" s="385"/>
      <c r="J658" s="385" t="s">
        <v>49</v>
      </c>
      <c r="K658" s="385"/>
      <c r="L658" s="391" t="s">
        <v>1918</v>
      </c>
      <c r="M658" s="389" t="s">
        <v>106</v>
      </c>
      <c r="N658" s="397"/>
      <c r="O658" s="392">
        <v>2000000</v>
      </c>
      <c r="P658" s="392"/>
      <c r="Q658" s="403" t="s">
        <v>948</v>
      </c>
    </row>
    <row r="659" spans="1:26" s="485" customFormat="1" ht="51.75" customHeight="1" x14ac:dyDescent="0.25">
      <c r="A659" s="385">
        <f t="shared" ref="A659" si="9">A658+1</f>
        <v>9</v>
      </c>
      <c r="B659" s="405" t="s">
        <v>1227</v>
      </c>
      <c r="C659" s="395" t="s">
        <v>1726</v>
      </c>
      <c r="D659" s="389" t="s">
        <v>2164</v>
      </c>
      <c r="E659" s="389" t="s">
        <v>1946</v>
      </c>
      <c r="F659" s="389" t="s">
        <v>2165</v>
      </c>
      <c r="G659" s="390" t="s">
        <v>49</v>
      </c>
      <c r="H659" s="390" t="s">
        <v>49</v>
      </c>
      <c r="I659" s="390" t="s">
        <v>49</v>
      </c>
      <c r="J659" s="390" t="s">
        <v>49</v>
      </c>
      <c r="K659" s="390" t="s">
        <v>49</v>
      </c>
      <c r="L659" s="391" t="s">
        <v>1147</v>
      </c>
      <c r="M659" s="389" t="s">
        <v>1882</v>
      </c>
      <c r="N659" s="397"/>
      <c r="O659" s="392">
        <v>3000000</v>
      </c>
      <c r="P659" s="392"/>
      <c r="Q659" s="403" t="s">
        <v>948</v>
      </c>
    </row>
    <row r="660" spans="1:26" s="485" customFormat="1" ht="42" customHeight="1" x14ac:dyDescent="0.25">
      <c r="A660" s="385">
        <v>10</v>
      </c>
      <c r="B660" s="405" t="s">
        <v>1227</v>
      </c>
      <c r="C660" s="395" t="s">
        <v>1726</v>
      </c>
      <c r="D660" s="388" t="s">
        <v>2166</v>
      </c>
      <c r="E660" s="389" t="s">
        <v>2167</v>
      </c>
      <c r="F660" s="389" t="s">
        <v>1261</v>
      </c>
      <c r="G660" s="389"/>
      <c r="H660" s="389"/>
      <c r="I660" s="389"/>
      <c r="J660" s="389"/>
      <c r="K660" s="389"/>
      <c r="L660" s="391" t="s">
        <v>1147</v>
      </c>
      <c r="M660" s="389" t="s">
        <v>239</v>
      </c>
      <c r="N660" s="397"/>
      <c r="O660" s="392">
        <v>7000000</v>
      </c>
      <c r="P660" s="392"/>
      <c r="Q660" s="403" t="s">
        <v>948</v>
      </c>
    </row>
    <row r="661" spans="1:26" s="485" customFormat="1" ht="52.5" customHeight="1" x14ac:dyDescent="0.25">
      <c r="A661" s="385">
        <v>9</v>
      </c>
      <c r="B661" s="405" t="s">
        <v>531</v>
      </c>
      <c r="C661" s="395" t="s">
        <v>1677</v>
      </c>
      <c r="D661" s="399" t="s">
        <v>1978</v>
      </c>
      <c r="E661" s="399" t="s">
        <v>1979</v>
      </c>
      <c r="F661" s="401" t="s">
        <v>152</v>
      </c>
      <c r="G661" s="390" t="s">
        <v>49</v>
      </c>
      <c r="H661" s="390" t="s">
        <v>49</v>
      </c>
      <c r="I661" s="390" t="s">
        <v>49</v>
      </c>
      <c r="J661" s="390" t="s">
        <v>49</v>
      </c>
      <c r="K661" s="390" t="s">
        <v>49</v>
      </c>
      <c r="L661" s="448" t="s">
        <v>632</v>
      </c>
      <c r="M661" s="385">
        <v>1</v>
      </c>
      <c r="N661" s="436"/>
      <c r="O661" s="450"/>
      <c r="P661" s="451">
        <v>1000000</v>
      </c>
      <c r="Q661" s="446" t="s">
        <v>2181</v>
      </c>
    </row>
    <row r="662" spans="1:26" s="485" customFormat="1" ht="57" customHeight="1" x14ac:dyDescent="0.25">
      <c r="A662" s="385">
        <f t="shared" ref="A662" si="10">A661+1</f>
        <v>10</v>
      </c>
      <c r="B662" s="405" t="s">
        <v>531</v>
      </c>
      <c r="C662" s="395" t="s">
        <v>1677</v>
      </c>
      <c r="D662" s="399" t="s">
        <v>2176</v>
      </c>
      <c r="E662" s="399" t="s">
        <v>2111</v>
      </c>
      <c r="F662" s="401" t="s">
        <v>2133</v>
      </c>
      <c r="G662" s="390" t="s">
        <v>49</v>
      </c>
      <c r="H662" s="390" t="s">
        <v>49</v>
      </c>
      <c r="I662" s="390" t="s">
        <v>49</v>
      </c>
      <c r="J662" s="390" t="s">
        <v>49</v>
      </c>
      <c r="K662" s="390" t="s">
        <v>49</v>
      </c>
      <c r="L662" s="448" t="s">
        <v>632</v>
      </c>
      <c r="M662" s="449">
        <v>25</v>
      </c>
      <c r="N662" s="436"/>
      <c r="O662" s="450"/>
      <c r="P662" s="451">
        <v>3750000</v>
      </c>
      <c r="Q662" s="446" t="s">
        <v>2181</v>
      </c>
    </row>
    <row r="663" spans="1:26" s="485" customFormat="1" ht="51.75" customHeight="1" x14ac:dyDescent="0.25">
      <c r="A663" s="385">
        <v>11</v>
      </c>
      <c r="B663" s="405" t="s">
        <v>531</v>
      </c>
      <c r="C663" s="395" t="s">
        <v>1677</v>
      </c>
      <c r="D663" s="433" t="s">
        <v>1980</v>
      </c>
      <c r="E663" s="433" t="s">
        <v>1981</v>
      </c>
      <c r="F663" s="388" t="s">
        <v>1982</v>
      </c>
      <c r="G663" s="390" t="s">
        <v>49</v>
      </c>
      <c r="H663" s="390" t="s">
        <v>49</v>
      </c>
      <c r="I663" s="390" t="s">
        <v>49</v>
      </c>
      <c r="J663" s="390" t="s">
        <v>49</v>
      </c>
      <c r="K663" s="390" t="s">
        <v>49</v>
      </c>
      <c r="L663" s="391" t="s">
        <v>16</v>
      </c>
      <c r="M663" s="388" t="s">
        <v>1983</v>
      </c>
      <c r="N663" s="397"/>
      <c r="O663" s="392"/>
      <c r="P663" s="392">
        <v>1200000</v>
      </c>
      <c r="Q663" s="398" t="s">
        <v>1984</v>
      </c>
    </row>
    <row r="664" spans="1:26" s="485" customFormat="1" ht="52.5" customHeight="1" x14ac:dyDescent="0.25">
      <c r="A664" s="385">
        <v>10</v>
      </c>
      <c r="B664" s="405" t="s">
        <v>531</v>
      </c>
      <c r="C664" s="395" t="s">
        <v>1677</v>
      </c>
      <c r="D664" s="433" t="s">
        <v>1985</v>
      </c>
      <c r="E664" s="433" t="s">
        <v>1986</v>
      </c>
      <c r="F664" s="388" t="s">
        <v>1987</v>
      </c>
      <c r="G664" s="390" t="s">
        <v>49</v>
      </c>
      <c r="H664" s="390" t="s">
        <v>49</v>
      </c>
      <c r="I664" s="390" t="s">
        <v>49</v>
      </c>
      <c r="J664" s="390" t="s">
        <v>49</v>
      </c>
      <c r="K664" s="390" t="s">
        <v>49</v>
      </c>
      <c r="L664" s="391" t="s">
        <v>16</v>
      </c>
      <c r="M664" s="388" t="s">
        <v>1988</v>
      </c>
      <c r="N664" s="392" t="s">
        <v>464</v>
      </c>
      <c r="O664" s="392"/>
      <c r="P664" s="392">
        <v>15000000</v>
      </c>
      <c r="Q664" s="398" t="s">
        <v>1984</v>
      </c>
      <c r="R664" s="488"/>
      <c r="S664" s="488"/>
      <c r="T664" s="488"/>
      <c r="U664" s="488"/>
      <c r="V664" s="488"/>
      <c r="W664" s="488"/>
      <c r="X664" s="488"/>
      <c r="Y664" s="488"/>
      <c r="Z664" s="488"/>
    </row>
    <row r="665" spans="1:26" s="485" customFormat="1" ht="47.25" customHeight="1" x14ac:dyDescent="0.25">
      <c r="A665" s="385">
        <f t="shared" ref="A665" si="11">A664+1</f>
        <v>11</v>
      </c>
      <c r="B665" s="405" t="s">
        <v>531</v>
      </c>
      <c r="C665" s="395" t="s">
        <v>1677</v>
      </c>
      <c r="D665" s="399" t="s">
        <v>1989</v>
      </c>
      <c r="E665" s="468" t="s">
        <v>1990</v>
      </c>
      <c r="F665" s="399" t="s">
        <v>1982</v>
      </c>
      <c r="G665" s="390" t="s">
        <v>49</v>
      </c>
      <c r="H665" s="390" t="s">
        <v>49</v>
      </c>
      <c r="I665" s="390" t="s">
        <v>49</v>
      </c>
      <c r="J665" s="390" t="s">
        <v>49</v>
      </c>
      <c r="K665" s="390" t="s">
        <v>49</v>
      </c>
      <c r="L665" s="391" t="s">
        <v>16</v>
      </c>
      <c r="M665" s="399" t="s">
        <v>1991</v>
      </c>
      <c r="N665" s="490"/>
      <c r="O665" s="397"/>
      <c r="P665" s="406">
        <v>6000000</v>
      </c>
      <c r="Q665" s="398" t="s">
        <v>1984</v>
      </c>
      <c r="R665" s="488"/>
      <c r="S665" s="488"/>
      <c r="T665" s="488"/>
      <c r="U665" s="488"/>
      <c r="V665" s="488"/>
      <c r="W665" s="488"/>
      <c r="X665" s="488"/>
      <c r="Y665" s="488"/>
      <c r="Z665" s="488"/>
    </row>
    <row r="666" spans="1:26" s="485" customFormat="1" ht="52.5" customHeight="1" x14ac:dyDescent="0.25">
      <c r="A666" s="385">
        <v>12</v>
      </c>
      <c r="B666" s="405" t="s">
        <v>531</v>
      </c>
      <c r="C666" s="395" t="s">
        <v>1677</v>
      </c>
      <c r="D666" s="399" t="s">
        <v>1992</v>
      </c>
      <c r="E666" s="399" t="s">
        <v>1993</v>
      </c>
      <c r="F666" s="391" t="s">
        <v>16</v>
      </c>
      <c r="G666" s="401"/>
      <c r="H666" s="401"/>
      <c r="I666" s="401"/>
      <c r="J666" s="409" t="s">
        <v>49</v>
      </c>
      <c r="K666" s="409"/>
      <c r="L666" s="396" t="s">
        <v>1626</v>
      </c>
      <c r="M666" s="401" t="s">
        <v>1994</v>
      </c>
      <c r="N666" s="402"/>
      <c r="O666" s="402"/>
      <c r="P666" s="402">
        <v>120000000</v>
      </c>
      <c r="Q666" s="411" t="s">
        <v>1032</v>
      </c>
      <c r="R666" s="488"/>
      <c r="S666" s="488"/>
      <c r="T666" s="488"/>
      <c r="U666" s="488"/>
      <c r="V666" s="488"/>
      <c r="W666" s="488"/>
      <c r="X666" s="488"/>
      <c r="Y666" s="488"/>
      <c r="Z666" s="488"/>
    </row>
    <row r="667" spans="1:26" s="485" customFormat="1" ht="48" customHeight="1" x14ac:dyDescent="0.25">
      <c r="A667" s="385">
        <v>11</v>
      </c>
      <c r="B667" s="405" t="s">
        <v>531</v>
      </c>
      <c r="C667" s="395" t="s">
        <v>1677</v>
      </c>
      <c r="D667" s="399" t="s">
        <v>1995</v>
      </c>
      <c r="E667" s="399" t="s">
        <v>1979</v>
      </c>
      <c r="F667" s="401" t="s">
        <v>152</v>
      </c>
      <c r="G667" s="390" t="s">
        <v>49</v>
      </c>
      <c r="H667" s="390" t="s">
        <v>49</v>
      </c>
      <c r="I667" s="390" t="s">
        <v>49</v>
      </c>
      <c r="J667" s="390" t="s">
        <v>49</v>
      </c>
      <c r="K667" s="390" t="s">
        <v>49</v>
      </c>
      <c r="L667" s="448" t="s">
        <v>632</v>
      </c>
      <c r="M667" s="385">
        <v>100</v>
      </c>
      <c r="N667" s="436"/>
      <c r="O667" s="450"/>
      <c r="P667" s="451">
        <v>15000000</v>
      </c>
      <c r="Q667" s="446" t="s">
        <v>1032</v>
      </c>
      <c r="R667" s="488"/>
      <c r="S667" s="488"/>
      <c r="T667" s="488"/>
      <c r="U667" s="488"/>
      <c r="V667" s="488"/>
      <c r="W667" s="488"/>
      <c r="X667" s="488"/>
      <c r="Y667" s="488"/>
      <c r="Z667" s="488"/>
    </row>
    <row r="668" spans="1:26" s="485" customFormat="1" ht="45" customHeight="1" x14ac:dyDescent="0.25">
      <c r="A668" s="385">
        <f t="shared" ref="A668" si="12">A667+1</f>
        <v>12</v>
      </c>
      <c r="B668" s="405" t="s">
        <v>531</v>
      </c>
      <c r="C668" s="395" t="s">
        <v>1677</v>
      </c>
      <c r="D668" s="399" t="s">
        <v>1996</v>
      </c>
      <c r="E668" s="399" t="s">
        <v>1979</v>
      </c>
      <c r="F668" s="401" t="s">
        <v>152</v>
      </c>
      <c r="G668" s="390" t="s">
        <v>49</v>
      </c>
      <c r="H668" s="390" t="s">
        <v>49</v>
      </c>
      <c r="I668" s="390" t="s">
        <v>49</v>
      </c>
      <c r="J668" s="390" t="s">
        <v>49</v>
      </c>
      <c r="K668" s="390" t="s">
        <v>49</v>
      </c>
      <c r="L668" s="448" t="s">
        <v>632</v>
      </c>
      <c r="M668" s="385">
        <v>10</v>
      </c>
      <c r="N668" s="436"/>
      <c r="O668" s="450"/>
      <c r="P668" s="451">
        <v>2500000</v>
      </c>
      <c r="Q668" s="446" t="s">
        <v>1032</v>
      </c>
      <c r="R668" s="488"/>
      <c r="S668" s="488"/>
      <c r="T668" s="488"/>
      <c r="U668" s="488"/>
      <c r="V668" s="488"/>
      <c r="W668" s="488"/>
      <c r="X668" s="488"/>
      <c r="Y668" s="488"/>
      <c r="Z668" s="488"/>
    </row>
    <row r="669" spans="1:26" s="491" customFormat="1" ht="90" customHeight="1" x14ac:dyDescent="0.25">
      <c r="A669" s="385">
        <v>13</v>
      </c>
      <c r="B669" s="405" t="s">
        <v>531</v>
      </c>
      <c r="C669" s="395" t="s">
        <v>1677</v>
      </c>
      <c r="D669" s="399" t="s">
        <v>1997</v>
      </c>
      <c r="E669" s="399" t="s">
        <v>1979</v>
      </c>
      <c r="F669" s="401" t="s">
        <v>152</v>
      </c>
      <c r="G669" s="390" t="s">
        <v>49</v>
      </c>
      <c r="H669" s="390" t="s">
        <v>49</v>
      </c>
      <c r="I669" s="390" t="s">
        <v>49</v>
      </c>
      <c r="J669" s="390" t="s">
        <v>49</v>
      </c>
      <c r="K669" s="390" t="s">
        <v>49</v>
      </c>
      <c r="L669" s="448" t="s">
        <v>632</v>
      </c>
      <c r="M669" s="385">
        <v>1</v>
      </c>
      <c r="N669" s="436"/>
      <c r="O669" s="450"/>
      <c r="P669" s="451">
        <v>2000000</v>
      </c>
      <c r="Q669" s="446" t="s">
        <v>1032</v>
      </c>
    </row>
    <row r="670" spans="1:26" s="485" customFormat="1" ht="48" customHeight="1" x14ac:dyDescent="0.25">
      <c r="A670" s="385">
        <v>12</v>
      </c>
      <c r="B670" s="405" t="s">
        <v>531</v>
      </c>
      <c r="C670" s="395" t="s">
        <v>1677</v>
      </c>
      <c r="D670" s="400" t="s">
        <v>1998</v>
      </c>
      <c r="E670" s="399" t="s">
        <v>1979</v>
      </c>
      <c r="F670" s="401" t="s">
        <v>152</v>
      </c>
      <c r="G670" s="390" t="s">
        <v>49</v>
      </c>
      <c r="H670" s="390" t="s">
        <v>49</v>
      </c>
      <c r="I670" s="390" t="s">
        <v>49</v>
      </c>
      <c r="J670" s="390" t="s">
        <v>49</v>
      </c>
      <c r="K670" s="390" t="s">
        <v>49</v>
      </c>
      <c r="L670" s="400" t="s">
        <v>632</v>
      </c>
      <c r="M670" s="385">
        <v>1</v>
      </c>
      <c r="N670" s="436"/>
      <c r="O670" s="450"/>
      <c r="P670" s="451">
        <v>20000000</v>
      </c>
      <c r="Q670" s="446" t="s">
        <v>1032</v>
      </c>
      <c r="R670" s="488"/>
      <c r="S670" s="488"/>
      <c r="T670" s="488"/>
      <c r="U670" s="488"/>
      <c r="V670" s="488"/>
      <c r="W670" s="488"/>
      <c r="X670" s="488"/>
      <c r="Y670" s="488"/>
      <c r="Z670" s="488"/>
    </row>
    <row r="671" spans="1:26" s="485" customFormat="1" ht="47.25" customHeight="1" x14ac:dyDescent="0.25">
      <c r="A671" s="385">
        <f t="shared" ref="A671" si="13">A670+1</f>
        <v>13</v>
      </c>
      <c r="B671" s="405" t="s">
        <v>1185</v>
      </c>
      <c r="C671" s="395" t="s">
        <v>1999</v>
      </c>
      <c r="D671" s="399" t="s">
        <v>2000</v>
      </c>
      <c r="E671" s="399" t="s">
        <v>2001</v>
      </c>
      <c r="F671" s="401" t="s">
        <v>152</v>
      </c>
      <c r="G671" s="390" t="s">
        <v>49</v>
      </c>
      <c r="H671" s="390" t="s">
        <v>49</v>
      </c>
      <c r="I671" s="390" t="s">
        <v>49</v>
      </c>
      <c r="J671" s="390" t="s">
        <v>49</v>
      </c>
      <c r="K671" s="390" t="s">
        <v>49</v>
      </c>
      <c r="L671" s="448" t="s">
        <v>632</v>
      </c>
      <c r="M671" s="385">
        <v>200</v>
      </c>
      <c r="N671" s="436"/>
      <c r="O671" s="450"/>
      <c r="P671" s="451">
        <v>150000000</v>
      </c>
      <c r="Q671" s="446" t="s">
        <v>2182</v>
      </c>
      <c r="R671" s="488"/>
      <c r="S671" s="488"/>
      <c r="T671" s="488"/>
      <c r="U671" s="488"/>
      <c r="V671" s="488"/>
      <c r="W671" s="488"/>
      <c r="X671" s="488"/>
      <c r="Y671" s="488"/>
      <c r="Z671" s="488"/>
    </row>
    <row r="672" spans="1:26" s="485" customFormat="1" ht="47.25" customHeight="1" x14ac:dyDescent="0.25">
      <c r="A672" s="385">
        <v>14</v>
      </c>
      <c r="B672" s="458" t="s">
        <v>809</v>
      </c>
      <c r="C672" s="395" t="s">
        <v>1637</v>
      </c>
      <c r="D672" s="400" t="s">
        <v>2002</v>
      </c>
      <c r="E672" s="401" t="s">
        <v>2003</v>
      </c>
      <c r="F672" s="399" t="s">
        <v>1573</v>
      </c>
      <c r="G672" s="401"/>
      <c r="H672" s="401"/>
      <c r="I672" s="401"/>
      <c r="J672" s="401"/>
      <c r="K672" s="385" t="s">
        <v>49</v>
      </c>
      <c r="L672" s="396" t="s">
        <v>2004</v>
      </c>
      <c r="M672" s="399" t="s">
        <v>2005</v>
      </c>
      <c r="N672" s="402"/>
      <c r="O672" s="423"/>
      <c r="P672" s="423">
        <v>40000000</v>
      </c>
      <c r="Q672" s="446" t="s">
        <v>1428</v>
      </c>
      <c r="R672" s="488"/>
      <c r="S672" s="488"/>
      <c r="T672" s="488"/>
      <c r="U672" s="488"/>
      <c r="V672" s="488"/>
      <c r="W672" s="488"/>
      <c r="X672" s="488"/>
      <c r="Y672" s="488"/>
      <c r="Z672" s="488"/>
    </row>
    <row r="673" spans="1:26" s="485" customFormat="1" ht="47.25" customHeight="1" x14ac:dyDescent="0.25">
      <c r="A673" s="385">
        <v>13</v>
      </c>
      <c r="B673" s="415" t="s">
        <v>809</v>
      </c>
      <c r="C673" s="395" t="s">
        <v>1637</v>
      </c>
      <c r="D673" s="399" t="s">
        <v>2006</v>
      </c>
      <c r="E673" s="417" t="s">
        <v>2007</v>
      </c>
      <c r="F673" s="401" t="s">
        <v>1261</v>
      </c>
      <c r="G673" s="415" t="s">
        <v>49</v>
      </c>
      <c r="H673" s="390" t="s">
        <v>49</v>
      </c>
      <c r="I673" s="415" t="s">
        <v>49</v>
      </c>
      <c r="J673" s="415" t="s">
        <v>49</v>
      </c>
      <c r="K673" s="415" t="s">
        <v>49</v>
      </c>
      <c r="L673" s="416" t="s">
        <v>2008</v>
      </c>
      <c r="M673" s="399" t="s">
        <v>2009</v>
      </c>
      <c r="N673" s="472"/>
      <c r="O673" s="392"/>
      <c r="P673" s="392">
        <v>15000000</v>
      </c>
      <c r="Q673" s="446" t="s">
        <v>1432</v>
      </c>
      <c r="R673" s="488"/>
      <c r="S673" s="488"/>
      <c r="T673" s="488"/>
      <c r="U673" s="488"/>
      <c r="V673" s="488"/>
      <c r="W673" s="488"/>
      <c r="X673" s="488"/>
      <c r="Y673" s="488"/>
      <c r="Z673" s="488"/>
    </row>
    <row r="674" spans="1:26" s="485" customFormat="1" ht="81" customHeight="1" x14ac:dyDescent="0.25">
      <c r="A674" s="385">
        <f t="shared" ref="A674" si="14">A673+1</f>
        <v>14</v>
      </c>
      <c r="B674" s="405" t="s">
        <v>531</v>
      </c>
      <c r="C674" s="395" t="s">
        <v>1677</v>
      </c>
      <c r="D674" s="399" t="s">
        <v>2010</v>
      </c>
      <c r="E674" s="399" t="s">
        <v>2011</v>
      </c>
      <c r="F674" s="401" t="s">
        <v>2012</v>
      </c>
      <c r="G674" s="390" t="s">
        <v>49</v>
      </c>
      <c r="H674" s="390" t="s">
        <v>49</v>
      </c>
      <c r="I674" s="390" t="s">
        <v>49</v>
      </c>
      <c r="J674" s="390" t="s">
        <v>49</v>
      </c>
      <c r="K674" s="390" t="s">
        <v>49</v>
      </c>
      <c r="L674" s="448" t="s">
        <v>632</v>
      </c>
      <c r="M674" s="385">
        <v>25</v>
      </c>
      <c r="N674" s="436"/>
      <c r="O674" s="450"/>
      <c r="P674" s="451">
        <v>7500000</v>
      </c>
      <c r="Q674" s="446" t="s">
        <v>1432</v>
      </c>
    </row>
    <row r="675" spans="1:26" s="485" customFormat="1" ht="82.5" customHeight="1" x14ac:dyDescent="0.25">
      <c r="A675" s="385">
        <v>15</v>
      </c>
      <c r="B675" s="405" t="s">
        <v>531</v>
      </c>
      <c r="C675" s="387" t="s">
        <v>1677</v>
      </c>
      <c r="D675" s="399" t="s">
        <v>2013</v>
      </c>
      <c r="E675" s="399" t="s">
        <v>2011</v>
      </c>
      <c r="F675" s="401" t="s">
        <v>2014</v>
      </c>
      <c r="G675" s="390" t="s">
        <v>49</v>
      </c>
      <c r="H675" s="390" t="s">
        <v>49</v>
      </c>
      <c r="I675" s="390" t="s">
        <v>49</v>
      </c>
      <c r="J675" s="390" t="s">
        <v>49</v>
      </c>
      <c r="K675" s="390" t="s">
        <v>49</v>
      </c>
      <c r="L675" s="448" t="s">
        <v>632</v>
      </c>
      <c r="M675" s="385">
        <v>15</v>
      </c>
      <c r="N675" s="436"/>
      <c r="O675" s="450"/>
      <c r="P675" s="451">
        <v>4500000</v>
      </c>
      <c r="Q675" s="446" t="s">
        <v>1432</v>
      </c>
    </row>
    <row r="676" spans="1:26" s="491" customFormat="1" ht="49.5" customHeight="1" x14ac:dyDescent="0.25">
      <c r="A676" s="385">
        <v>14</v>
      </c>
      <c r="B676" s="405" t="s">
        <v>531</v>
      </c>
      <c r="C676" s="387" t="s">
        <v>1677</v>
      </c>
      <c r="D676" s="399" t="s">
        <v>2015</v>
      </c>
      <c r="E676" s="399" t="s">
        <v>2011</v>
      </c>
      <c r="F676" s="401" t="s">
        <v>2016</v>
      </c>
      <c r="G676" s="390" t="s">
        <v>49</v>
      </c>
      <c r="H676" s="390" t="s">
        <v>49</v>
      </c>
      <c r="I676" s="390" t="s">
        <v>49</v>
      </c>
      <c r="J676" s="390" t="s">
        <v>49</v>
      </c>
      <c r="K676" s="390" t="s">
        <v>49</v>
      </c>
      <c r="L676" s="448" t="s">
        <v>632</v>
      </c>
      <c r="M676" s="385">
        <v>1</v>
      </c>
      <c r="N676" s="436"/>
      <c r="O676" s="450"/>
      <c r="P676" s="451">
        <v>10000000</v>
      </c>
      <c r="Q676" s="446" t="s">
        <v>1432</v>
      </c>
    </row>
    <row r="677" spans="1:26" s="485" customFormat="1" ht="67.5" customHeight="1" x14ac:dyDescent="0.25">
      <c r="A677" s="385">
        <f t="shared" ref="A677" si="15">A676+1</f>
        <v>15</v>
      </c>
      <c r="B677" s="405" t="s">
        <v>531</v>
      </c>
      <c r="C677" s="387" t="s">
        <v>1677</v>
      </c>
      <c r="D677" s="468" t="s">
        <v>2017</v>
      </c>
      <c r="E677" s="399" t="s">
        <v>2011</v>
      </c>
      <c r="F677" s="401" t="s">
        <v>2018</v>
      </c>
      <c r="G677" s="390" t="s">
        <v>49</v>
      </c>
      <c r="H677" s="390" t="s">
        <v>49</v>
      </c>
      <c r="I677" s="390" t="s">
        <v>49</v>
      </c>
      <c r="J677" s="390" t="s">
        <v>49</v>
      </c>
      <c r="K677" s="390" t="s">
        <v>49</v>
      </c>
      <c r="L677" s="448" t="s">
        <v>632</v>
      </c>
      <c r="M677" s="385">
        <v>30</v>
      </c>
      <c r="N677" s="436"/>
      <c r="O677" s="450"/>
      <c r="P677" s="451">
        <v>9000000</v>
      </c>
      <c r="Q677" s="446" t="s">
        <v>1432</v>
      </c>
      <c r="R677" s="488"/>
      <c r="S677" s="488"/>
      <c r="T677" s="488"/>
      <c r="U677" s="488"/>
      <c r="V677" s="488"/>
      <c r="W677" s="488"/>
      <c r="X677" s="488"/>
      <c r="Y677" s="488"/>
      <c r="Z677" s="488"/>
    </row>
    <row r="678" spans="1:26" s="491" customFormat="1" ht="47.25" customHeight="1" x14ac:dyDescent="0.25">
      <c r="A678" s="385">
        <v>16</v>
      </c>
      <c r="B678" s="405" t="s">
        <v>531</v>
      </c>
      <c r="C678" s="387" t="s">
        <v>1677</v>
      </c>
      <c r="D678" s="468" t="s">
        <v>2019</v>
      </c>
      <c r="E678" s="399" t="s">
        <v>2011</v>
      </c>
      <c r="F678" s="401" t="s">
        <v>2018</v>
      </c>
      <c r="G678" s="390" t="s">
        <v>49</v>
      </c>
      <c r="H678" s="390" t="s">
        <v>49</v>
      </c>
      <c r="I678" s="390" t="s">
        <v>49</v>
      </c>
      <c r="J678" s="390" t="s">
        <v>49</v>
      </c>
      <c r="K678" s="390" t="s">
        <v>49</v>
      </c>
      <c r="L678" s="448" t="s">
        <v>632</v>
      </c>
      <c r="M678" s="385">
        <v>1</v>
      </c>
      <c r="N678" s="436"/>
      <c r="O678" s="450"/>
      <c r="P678" s="451">
        <v>3000000</v>
      </c>
      <c r="Q678" s="446" t="s">
        <v>1432</v>
      </c>
    </row>
    <row r="679" spans="1:26" s="485" customFormat="1" ht="33.75" customHeight="1" x14ac:dyDescent="0.25">
      <c r="A679" s="385">
        <v>15</v>
      </c>
      <c r="B679" s="442" t="s">
        <v>1870</v>
      </c>
      <c r="C679" s="395" t="s">
        <v>423</v>
      </c>
      <c r="D679" s="389" t="s">
        <v>2020</v>
      </c>
      <c r="E679" s="388" t="s">
        <v>2021</v>
      </c>
      <c r="F679" s="388" t="s">
        <v>192</v>
      </c>
      <c r="G679" s="389"/>
      <c r="H679" s="389"/>
      <c r="I679" s="389"/>
      <c r="J679" s="385" t="s">
        <v>49</v>
      </c>
      <c r="K679" s="385" t="s">
        <v>49</v>
      </c>
      <c r="L679" s="391" t="s">
        <v>1478</v>
      </c>
      <c r="M679" s="389" t="s">
        <v>239</v>
      </c>
      <c r="N679" s="392"/>
      <c r="O679" s="392"/>
      <c r="P679" s="420">
        <v>15000000</v>
      </c>
      <c r="Q679" s="446" t="s">
        <v>1652</v>
      </c>
      <c r="R679" s="488"/>
      <c r="S679" s="488"/>
      <c r="T679" s="488"/>
      <c r="U679" s="488"/>
      <c r="V679" s="488"/>
      <c r="W679" s="488"/>
      <c r="X679" s="488"/>
      <c r="Y679" s="488"/>
      <c r="Z679" s="488"/>
    </row>
    <row r="680" spans="1:26" s="485" customFormat="1" ht="32.25" customHeight="1" x14ac:dyDescent="0.25">
      <c r="A680" s="385">
        <f t="shared" ref="A680" si="16">A679+1</f>
        <v>16</v>
      </c>
      <c r="B680" s="442" t="s">
        <v>1870</v>
      </c>
      <c r="C680" s="395" t="s">
        <v>423</v>
      </c>
      <c r="D680" s="388" t="s">
        <v>2022</v>
      </c>
      <c r="E680" s="388" t="s">
        <v>2023</v>
      </c>
      <c r="F680" s="388" t="s">
        <v>204</v>
      </c>
      <c r="G680" s="389"/>
      <c r="H680" s="389"/>
      <c r="I680" s="385" t="s">
        <v>49</v>
      </c>
      <c r="J680" s="389"/>
      <c r="K680" s="389"/>
      <c r="L680" s="391" t="s">
        <v>1478</v>
      </c>
      <c r="M680" s="389" t="s">
        <v>231</v>
      </c>
      <c r="N680" s="392"/>
      <c r="O680" s="392"/>
      <c r="P680" s="420">
        <v>20000000</v>
      </c>
      <c r="Q680" s="446" t="s">
        <v>1652</v>
      </c>
      <c r="R680" s="488"/>
      <c r="S680" s="488"/>
      <c r="T680" s="488"/>
      <c r="U680" s="488"/>
      <c r="V680" s="488"/>
      <c r="W680" s="488"/>
      <c r="X680" s="488"/>
      <c r="Y680" s="488"/>
      <c r="Z680" s="488"/>
    </row>
    <row r="681" spans="1:26" s="485" customFormat="1" ht="31.5" customHeight="1" x14ac:dyDescent="0.25">
      <c r="A681" s="385">
        <v>17</v>
      </c>
      <c r="B681" s="405" t="s">
        <v>531</v>
      </c>
      <c r="C681" s="395" t="s">
        <v>1677</v>
      </c>
      <c r="D681" s="388" t="s">
        <v>2024</v>
      </c>
      <c r="E681" s="388" t="s">
        <v>2025</v>
      </c>
      <c r="F681" s="388" t="s">
        <v>2026</v>
      </c>
      <c r="G681" s="390" t="s">
        <v>49</v>
      </c>
      <c r="H681" s="390" t="s">
        <v>49</v>
      </c>
      <c r="I681" s="390" t="s">
        <v>49</v>
      </c>
      <c r="J681" s="390" t="s">
        <v>49</v>
      </c>
      <c r="K681" s="390" t="s">
        <v>49</v>
      </c>
      <c r="L681" s="391" t="s">
        <v>1918</v>
      </c>
      <c r="M681" s="389" t="s">
        <v>1626</v>
      </c>
      <c r="N681" s="392"/>
      <c r="O681" s="392"/>
      <c r="P681" s="392">
        <v>7000000</v>
      </c>
      <c r="Q681" s="446" t="s">
        <v>1652</v>
      </c>
      <c r="R681" s="488"/>
      <c r="S681" s="488"/>
      <c r="T681" s="488"/>
      <c r="U681" s="488"/>
      <c r="V681" s="488"/>
      <c r="W681" s="488"/>
      <c r="X681" s="488"/>
      <c r="Y681" s="488"/>
      <c r="Z681" s="488"/>
    </row>
    <row r="682" spans="1:26" s="492" customFormat="1" ht="43.5" customHeight="1" x14ac:dyDescent="0.2">
      <c r="A682" s="385">
        <v>16</v>
      </c>
      <c r="B682" s="405" t="s">
        <v>1870</v>
      </c>
      <c r="C682" s="395" t="s">
        <v>423</v>
      </c>
      <c r="D682" s="399" t="s">
        <v>2027</v>
      </c>
      <c r="E682" s="399" t="s">
        <v>2028</v>
      </c>
      <c r="F682" s="399" t="s">
        <v>1573</v>
      </c>
      <c r="G682" s="399"/>
      <c r="H682" s="399"/>
      <c r="I682" s="399" t="s">
        <v>49</v>
      </c>
      <c r="J682" s="399" t="s">
        <v>49</v>
      </c>
      <c r="K682" s="390"/>
      <c r="L682" s="400" t="s">
        <v>1594</v>
      </c>
      <c r="M682" s="399" t="s">
        <v>1662</v>
      </c>
      <c r="N682" s="406"/>
      <c r="O682" s="406"/>
      <c r="P682" s="406">
        <v>15000000</v>
      </c>
      <c r="Q682" s="403" t="s">
        <v>1652</v>
      </c>
    </row>
    <row r="683" spans="1:26" s="485" customFormat="1" ht="51.75" customHeight="1" x14ac:dyDescent="0.25">
      <c r="A683" s="385">
        <f t="shared" ref="A683" si="17">A682+1</f>
        <v>17</v>
      </c>
      <c r="B683" s="453" t="s">
        <v>473</v>
      </c>
      <c r="C683" s="387" t="s">
        <v>2029</v>
      </c>
      <c r="D683" s="399" t="s">
        <v>2030</v>
      </c>
      <c r="E683" s="399" t="s">
        <v>2031</v>
      </c>
      <c r="F683" s="401" t="s">
        <v>1893</v>
      </c>
      <c r="G683" s="390" t="s">
        <v>49</v>
      </c>
      <c r="H683" s="390" t="s">
        <v>49</v>
      </c>
      <c r="I683" s="390" t="s">
        <v>49</v>
      </c>
      <c r="J683" s="390" t="s">
        <v>49</v>
      </c>
      <c r="K683" s="390" t="s">
        <v>49</v>
      </c>
      <c r="L683" s="448" t="s">
        <v>632</v>
      </c>
      <c r="M683" s="449">
        <v>20</v>
      </c>
      <c r="N683" s="436"/>
      <c r="O683" s="450"/>
      <c r="P683" s="451">
        <v>3000000</v>
      </c>
      <c r="Q683" s="446" t="s">
        <v>1652</v>
      </c>
    </row>
    <row r="684" spans="1:26" s="485" customFormat="1" ht="30" x14ac:dyDescent="0.25">
      <c r="A684" s="385">
        <v>18</v>
      </c>
      <c r="B684" s="493" t="s">
        <v>1274</v>
      </c>
      <c r="C684" s="395" t="s">
        <v>2032</v>
      </c>
      <c r="D684" s="388" t="s">
        <v>2033</v>
      </c>
      <c r="E684" s="388" t="s">
        <v>2034</v>
      </c>
      <c r="F684" s="388" t="s">
        <v>2035</v>
      </c>
      <c r="G684" s="388"/>
      <c r="H684" s="388"/>
      <c r="I684" s="385" t="s">
        <v>49</v>
      </c>
      <c r="J684" s="385" t="s">
        <v>49</v>
      </c>
      <c r="K684" s="385" t="s">
        <v>49</v>
      </c>
      <c r="L684" s="391" t="s">
        <v>1626</v>
      </c>
      <c r="M684" s="388" t="s">
        <v>1994</v>
      </c>
      <c r="N684" s="397"/>
      <c r="O684" s="422"/>
      <c r="P684" s="420">
        <v>70000000</v>
      </c>
      <c r="Q684" s="414" t="s">
        <v>2036</v>
      </c>
    </row>
    <row r="685" spans="1:26" s="485" customFormat="1" ht="30" x14ac:dyDescent="0.25">
      <c r="A685" s="385">
        <v>17</v>
      </c>
      <c r="B685" s="493" t="s">
        <v>2037</v>
      </c>
      <c r="C685" s="387" t="s">
        <v>2038</v>
      </c>
      <c r="D685" s="388" t="s">
        <v>2039</v>
      </c>
      <c r="E685" s="388" t="s">
        <v>2034</v>
      </c>
      <c r="F685" s="388" t="s">
        <v>2035</v>
      </c>
      <c r="G685" s="388"/>
      <c r="H685" s="388"/>
      <c r="I685" s="385" t="s">
        <v>49</v>
      </c>
      <c r="J685" s="385" t="s">
        <v>49</v>
      </c>
      <c r="K685" s="385" t="s">
        <v>49</v>
      </c>
      <c r="L685" s="391" t="s">
        <v>1626</v>
      </c>
      <c r="M685" s="388" t="s">
        <v>1994</v>
      </c>
      <c r="N685" s="397"/>
      <c r="O685" s="422"/>
      <c r="P685" s="420">
        <v>70000000</v>
      </c>
      <c r="Q685" s="414" t="s">
        <v>2036</v>
      </c>
    </row>
    <row r="686" spans="1:26" s="485" customFormat="1" ht="30" x14ac:dyDescent="0.25">
      <c r="A686" s="385">
        <f t="shared" ref="A686" si="18">A685+1</f>
        <v>18</v>
      </c>
      <c r="B686" s="493" t="s">
        <v>1379</v>
      </c>
      <c r="C686" s="395" t="s">
        <v>2040</v>
      </c>
      <c r="D686" s="388" t="s">
        <v>2041</v>
      </c>
      <c r="E686" s="388" t="s">
        <v>2034</v>
      </c>
      <c r="F686" s="388" t="s">
        <v>2035</v>
      </c>
      <c r="G686" s="388"/>
      <c r="H686" s="388"/>
      <c r="I686" s="385" t="s">
        <v>49</v>
      </c>
      <c r="J686" s="385" t="s">
        <v>49</v>
      </c>
      <c r="K686" s="385" t="s">
        <v>49</v>
      </c>
      <c r="L686" s="391" t="s">
        <v>1626</v>
      </c>
      <c r="M686" s="388" t="s">
        <v>1994</v>
      </c>
      <c r="N686" s="397"/>
      <c r="O686" s="422"/>
      <c r="P686" s="420">
        <v>70000000</v>
      </c>
      <c r="Q686" s="414" t="s">
        <v>2036</v>
      </c>
      <c r="R686" s="488"/>
      <c r="S686" s="488"/>
      <c r="T686" s="488"/>
      <c r="U686" s="488"/>
      <c r="V686" s="488"/>
      <c r="W686" s="488"/>
      <c r="X686" s="488"/>
      <c r="Y686" s="488"/>
      <c r="Z686" s="488"/>
    </row>
    <row r="687" spans="1:26" s="485" customFormat="1" ht="45" x14ac:dyDescent="0.25">
      <c r="A687" s="385">
        <v>19</v>
      </c>
      <c r="B687" s="405" t="s">
        <v>1438</v>
      </c>
      <c r="C687" s="395" t="s">
        <v>386</v>
      </c>
      <c r="D687" s="400" t="s">
        <v>2042</v>
      </c>
      <c r="E687" s="389" t="s">
        <v>2043</v>
      </c>
      <c r="F687" s="389" t="s">
        <v>2044</v>
      </c>
      <c r="G687" s="390" t="s">
        <v>49</v>
      </c>
      <c r="H687" s="390" t="s">
        <v>49</v>
      </c>
      <c r="I687" s="390" t="s">
        <v>49</v>
      </c>
      <c r="J687" s="390" t="s">
        <v>49</v>
      </c>
      <c r="K687" s="390" t="s">
        <v>49</v>
      </c>
      <c r="L687" s="400" t="s">
        <v>2045</v>
      </c>
      <c r="M687" s="389" t="s">
        <v>2046</v>
      </c>
      <c r="N687" s="397"/>
      <c r="O687" s="392"/>
      <c r="P687" s="392">
        <v>10000000</v>
      </c>
      <c r="Q687" s="414" t="s">
        <v>1617</v>
      </c>
      <c r="R687" s="488"/>
      <c r="S687" s="488"/>
      <c r="T687" s="488"/>
      <c r="U687" s="488"/>
      <c r="V687" s="488"/>
      <c r="W687" s="488"/>
      <c r="X687" s="488"/>
      <c r="Y687" s="488"/>
      <c r="Z687" s="488"/>
    </row>
    <row r="688" spans="1:26" s="485" customFormat="1" ht="45" customHeight="1" x14ac:dyDescent="0.25">
      <c r="A688" s="385">
        <v>18</v>
      </c>
      <c r="B688" s="454" t="s">
        <v>1438</v>
      </c>
      <c r="C688" s="395" t="s">
        <v>386</v>
      </c>
      <c r="D688" s="399" t="s">
        <v>2084</v>
      </c>
      <c r="E688" s="399" t="s">
        <v>1979</v>
      </c>
      <c r="F688" s="401" t="s">
        <v>152</v>
      </c>
      <c r="G688" s="390" t="s">
        <v>49</v>
      </c>
      <c r="H688" s="390" t="s">
        <v>49</v>
      </c>
      <c r="I688" s="390" t="s">
        <v>49</v>
      </c>
      <c r="J688" s="390" t="s">
        <v>49</v>
      </c>
      <c r="K688" s="390" t="s">
        <v>49</v>
      </c>
      <c r="L688" s="448" t="s">
        <v>632</v>
      </c>
      <c r="M688" s="385">
        <v>5</v>
      </c>
      <c r="N688" s="436"/>
      <c r="O688" s="450"/>
      <c r="P688" s="451">
        <v>3750000</v>
      </c>
      <c r="Q688" s="446" t="s">
        <v>2085</v>
      </c>
    </row>
    <row r="689" spans="1:26" s="485" customFormat="1" ht="79.5" customHeight="1" x14ac:dyDescent="0.25">
      <c r="A689" s="385">
        <f t="shared" ref="A689" si="19">A688+1</f>
        <v>19</v>
      </c>
      <c r="B689" s="447">
        <v>21.07</v>
      </c>
      <c r="C689" s="387" t="s">
        <v>2047</v>
      </c>
      <c r="D689" s="462" t="s">
        <v>2048</v>
      </c>
      <c r="E689" s="399" t="s">
        <v>2049</v>
      </c>
      <c r="F689" s="401" t="s">
        <v>152</v>
      </c>
      <c r="G689" s="390" t="s">
        <v>49</v>
      </c>
      <c r="H689" s="390" t="s">
        <v>49</v>
      </c>
      <c r="I689" s="390" t="s">
        <v>49</v>
      </c>
      <c r="J689" s="390" t="s">
        <v>49</v>
      </c>
      <c r="K689" s="390" t="s">
        <v>49</v>
      </c>
      <c r="L689" s="448" t="s">
        <v>632</v>
      </c>
      <c r="M689" s="385">
        <v>1</v>
      </c>
      <c r="N689" s="436"/>
      <c r="O689" s="450"/>
      <c r="P689" s="451">
        <v>200000000</v>
      </c>
      <c r="Q689" s="446" t="s">
        <v>1450</v>
      </c>
      <c r="R689" s="488"/>
      <c r="S689" s="488"/>
      <c r="T689" s="488"/>
      <c r="U689" s="488"/>
      <c r="V689" s="488"/>
      <c r="W689" s="488"/>
      <c r="X689" s="488"/>
      <c r="Y689" s="488"/>
      <c r="Z689" s="488"/>
    </row>
    <row r="690" spans="1:26" s="485" customFormat="1" ht="54" customHeight="1" x14ac:dyDescent="0.25">
      <c r="A690" s="385">
        <v>20</v>
      </c>
      <c r="B690" s="405" t="s">
        <v>1185</v>
      </c>
      <c r="C690" s="395" t="s">
        <v>2050</v>
      </c>
      <c r="D690" s="399" t="s">
        <v>2051</v>
      </c>
      <c r="E690" s="399" t="s">
        <v>2052</v>
      </c>
      <c r="F690" s="399" t="s">
        <v>1573</v>
      </c>
      <c r="G690" s="390" t="s">
        <v>49</v>
      </c>
      <c r="H690" s="390" t="s">
        <v>49</v>
      </c>
      <c r="I690" s="390" t="s">
        <v>49</v>
      </c>
      <c r="J690" s="390" t="s">
        <v>49</v>
      </c>
      <c r="K690" s="390" t="s">
        <v>49</v>
      </c>
      <c r="L690" s="400" t="s">
        <v>1594</v>
      </c>
      <c r="M690" s="399" t="s">
        <v>1494</v>
      </c>
      <c r="N690" s="406"/>
      <c r="O690" s="406"/>
      <c r="P690" s="406">
        <v>4000000</v>
      </c>
      <c r="Q690" s="403" t="s">
        <v>1977</v>
      </c>
      <c r="R690" s="488" t="s">
        <v>2053</v>
      </c>
      <c r="S690" s="488"/>
      <c r="T690" s="488"/>
      <c r="U690" s="488"/>
      <c r="V690" s="488"/>
      <c r="W690" s="488"/>
      <c r="X690" s="488"/>
      <c r="Y690" s="488"/>
      <c r="Z690" s="488"/>
    </row>
    <row r="691" spans="1:26" s="485" customFormat="1" ht="45" x14ac:dyDescent="0.25">
      <c r="A691" s="385">
        <v>19</v>
      </c>
      <c r="B691" s="405" t="s">
        <v>1653</v>
      </c>
      <c r="C691" s="395" t="s">
        <v>1654</v>
      </c>
      <c r="D691" s="399" t="s">
        <v>2054</v>
      </c>
      <c r="E691" s="399" t="s">
        <v>2052</v>
      </c>
      <c r="F691" s="399" t="s">
        <v>1573</v>
      </c>
      <c r="G691" s="390" t="s">
        <v>49</v>
      </c>
      <c r="H691" s="390" t="s">
        <v>49</v>
      </c>
      <c r="I691" s="390" t="s">
        <v>49</v>
      </c>
      <c r="J691" s="390" t="s">
        <v>49</v>
      </c>
      <c r="K691" s="390" t="s">
        <v>49</v>
      </c>
      <c r="L691" s="400" t="s">
        <v>1594</v>
      </c>
      <c r="M691" s="399" t="s">
        <v>1494</v>
      </c>
      <c r="N691" s="406"/>
      <c r="O691" s="406"/>
      <c r="P691" s="406">
        <v>10000000</v>
      </c>
      <c r="Q691" s="403" t="s">
        <v>1977</v>
      </c>
      <c r="R691" s="488"/>
      <c r="S691" s="488"/>
      <c r="T691" s="488"/>
      <c r="U691" s="488"/>
      <c r="V691" s="488"/>
      <c r="W691" s="488"/>
      <c r="X691" s="488"/>
      <c r="Y691" s="488"/>
      <c r="Z691" s="488"/>
    </row>
    <row r="692" spans="1:26" s="485" customFormat="1" ht="45.75" customHeight="1" x14ac:dyDescent="0.25">
      <c r="A692" s="385">
        <f t="shared" ref="A692" si="20">A691+1</f>
        <v>20</v>
      </c>
      <c r="B692" s="405" t="s">
        <v>1185</v>
      </c>
      <c r="C692" s="395" t="s">
        <v>1999</v>
      </c>
      <c r="D692" s="462" t="s">
        <v>2055</v>
      </c>
      <c r="E692" s="399" t="s">
        <v>2056</v>
      </c>
      <c r="F692" s="401" t="s">
        <v>152</v>
      </c>
      <c r="G692" s="390" t="s">
        <v>49</v>
      </c>
      <c r="H692" s="390" t="s">
        <v>49</v>
      </c>
      <c r="I692" s="390" t="s">
        <v>49</v>
      </c>
      <c r="J692" s="390" t="s">
        <v>49</v>
      </c>
      <c r="K692" s="390" t="s">
        <v>49</v>
      </c>
      <c r="L692" s="448" t="s">
        <v>632</v>
      </c>
      <c r="M692" s="385">
        <v>10</v>
      </c>
      <c r="N692" s="436"/>
      <c r="O692" s="450"/>
      <c r="P692" s="451">
        <v>12000000</v>
      </c>
      <c r="Q692" s="403" t="s">
        <v>1977</v>
      </c>
      <c r="R692" s="488"/>
      <c r="S692" s="488"/>
      <c r="T692" s="488"/>
      <c r="U692" s="488"/>
      <c r="V692" s="488"/>
      <c r="W692" s="488"/>
      <c r="X692" s="488"/>
      <c r="Y692" s="488"/>
      <c r="Z692" s="488"/>
    </row>
    <row r="693" spans="1:26" s="485" customFormat="1" ht="48.75" customHeight="1" x14ac:dyDescent="0.25">
      <c r="A693" s="385">
        <v>21</v>
      </c>
      <c r="B693" s="454" t="s">
        <v>2057</v>
      </c>
      <c r="C693" s="395" t="s">
        <v>2058</v>
      </c>
      <c r="D693" s="401" t="s">
        <v>2059</v>
      </c>
      <c r="E693" s="399" t="s">
        <v>1946</v>
      </c>
      <c r="F693" s="399" t="s">
        <v>1261</v>
      </c>
      <c r="G693" s="401"/>
      <c r="H693" s="401"/>
      <c r="I693" s="409" t="s">
        <v>49</v>
      </c>
      <c r="J693" s="409" t="s">
        <v>49</v>
      </c>
      <c r="K693" s="401"/>
      <c r="L693" s="400" t="s">
        <v>2060</v>
      </c>
      <c r="M693" s="401" t="s">
        <v>231</v>
      </c>
      <c r="N693" s="402"/>
      <c r="O693" s="402"/>
      <c r="P693" s="402">
        <f>3000000*12</f>
        <v>36000000</v>
      </c>
      <c r="Q693" s="494" t="s">
        <v>2183</v>
      </c>
      <c r="R693" s="488"/>
      <c r="S693" s="488"/>
      <c r="T693" s="488"/>
      <c r="U693" s="488"/>
      <c r="V693" s="488"/>
      <c r="W693" s="488"/>
      <c r="X693" s="488"/>
      <c r="Y693" s="488"/>
      <c r="Z693" s="488"/>
    </row>
    <row r="694" spans="1:26" s="485" customFormat="1" ht="60" x14ac:dyDescent="0.25">
      <c r="A694" s="385">
        <v>20</v>
      </c>
      <c r="B694" s="405" t="s">
        <v>1023</v>
      </c>
      <c r="C694" s="395" t="s">
        <v>1024</v>
      </c>
      <c r="D694" s="389" t="s">
        <v>2062</v>
      </c>
      <c r="E694" s="388" t="s">
        <v>2063</v>
      </c>
      <c r="F694" s="388" t="s">
        <v>1261</v>
      </c>
      <c r="G694" s="390" t="s">
        <v>49</v>
      </c>
      <c r="H694" s="390" t="s">
        <v>49</v>
      </c>
      <c r="I694" s="390" t="s">
        <v>49</v>
      </c>
      <c r="J694" s="390" t="s">
        <v>49</v>
      </c>
      <c r="K694" s="390" t="s">
        <v>49</v>
      </c>
      <c r="L694" s="391" t="s">
        <v>2064</v>
      </c>
      <c r="M694" s="401" t="s">
        <v>1489</v>
      </c>
      <c r="N694" s="417"/>
      <c r="O694" s="392"/>
      <c r="P694" s="392">
        <v>12000000</v>
      </c>
      <c r="Q694" s="494" t="s">
        <v>2061</v>
      </c>
    </row>
    <row r="695" spans="1:26" s="485" customFormat="1" ht="60" x14ac:dyDescent="0.25">
      <c r="A695" s="385">
        <f t="shared" ref="A695" si="21">A694+1</f>
        <v>21</v>
      </c>
      <c r="B695" s="447" t="s">
        <v>2076</v>
      </c>
      <c r="C695" s="387" t="s">
        <v>2077</v>
      </c>
      <c r="D695" s="399" t="s">
        <v>2078</v>
      </c>
      <c r="E695" s="399" t="s">
        <v>2079</v>
      </c>
      <c r="F695" s="399" t="s">
        <v>2080</v>
      </c>
      <c r="G695" s="390" t="s">
        <v>49</v>
      </c>
      <c r="H695" s="390" t="s">
        <v>49</v>
      </c>
      <c r="I695" s="390" t="s">
        <v>49</v>
      </c>
      <c r="J695" s="390" t="s">
        <v>49</v>
      </c>
      <c r="K695" s="390" t="s">
        <v>49</v>
      </c>
      <c r="L695" s="448" t="s">
        <v>632</v>
      </c>
      <c r="M695" s="449">
        <v>40</v>
      </c>
      <c r="N695" s="436"/>
      <c r="O695" s="450"/>
      <c r="P695" s="451">
        <v>6000000</v>
      </c>
      <c r="Q695" s="494" t="s">
        <v>2061</v>
      </c>
    </row>
    <row r="696" spans="1:26" s="485" customFormat="1" ht="38.25" customHeight="1" x14ac:dyDescent="0.25">
      <c r="A696" s="385">
        <v>22</v>
      </c>
      <c r="B696" s="458" t="s">
        <v>955</v>
      </c>
      <c r="C696" s="395" t="s">
        <v>1700</v>
      </c>
      <c r="D696" s="401" t="s">
        <v>2065</v>
      </c>
      <c r="E696" s="399" t="s">
        <v>1572</v>
      </c>
      <c r="F696" s="399" t="s">
        <v>1573</v>
      </c>
      <c r="G696" s="422"/>
      <c r="H696" s="422"/>
      <c r="I696" s="422"/>
      <c r="J696" s="422"/>
      <c r="K696" s="385" t="s">
        <v>49</v>
      </c>
      <c r="L696" s="396" t="s">
        <v>2066</v>
      </c>
      <c r="M696" s="401" t="s">
        <v>1494</v>
      </c>
      <c r="N696" s="450"/>
      <c r="O696" s="402"/>
      <c r="P696" s="402">
        <v>15000000</v>
      </c>
      <c r="Q696" s="403" t="s">
        <v>1419</v>
      </c>
      <c r="R696" s="488"/>
      <c r="S696" s="488"/>
      <c r="T696" s="488"/>
      <c r="U696" s="488"/>
      <c r="V696" s="488"/>
      <c r="W696" s="488"/>
      <c r="X696" s="488"/>
      <c r="Y696" s="488"/>
      <c r="Z696" s="488"/>
    </row>
    <row r="697" spans="1:26" s="485" customFormat="1" ht="30" x14ac:dyDescent="0.25">
      <c r="A697" s="385">
        <v>21</v>
      </c>
      <c r="B697" s="453" t="s">
        <v>955</v>
      </c>
      <c r="C697" s="387" t="s">
        <v>1700</v>
      </c>
      <c r="D697" s="399" t="s">
        <v>2067</v>
      </c>
      <c r="E697" s="399" t="s">
        <v>2068</v>
      </c>
      <c r="F697" s="401" t="s">
        <v>152</v>
      </c>
      <c r="G697" s="390" t="s">
        <v>49</v>
      </c>
      <c r="H697" s="390" t="s">
        <v>49</v>
      </c>
      <c r="I697" s="390" t="s">
        <v>49</v>
      </c>
      <c r="J697" s="390" t="s">
        <v>49</v>
      </c>
      <c r="K697" s="390" t="s">
        <v>49</v>
      </c>
      <c r="L697" s="448" t="s">
        <v>632</v>
      </c>
      <c r="M697" s="385">
        <v>11</v>
      </c>
      <c r="N697" s="436"/>
      <c r="O697" s="450"/>
      <c r="P697" s="451">
        <v>44000000</v>
      </c>
      <c r="Q697" s="446" t="s">
        <v>1419</v>
      </c>
      <c r="R697" s="488"/>
      <c r="S697" s="488"/>
      <c r="T697" s="488"/>
      <c r="U697" s="488"/>
      <c r="V697" s="488"/>
      <c r="W697" s="488"/>
      <c r="X697" s="488"/>
      <c r="Y697" s="488"/>
      <c r="Z697" s="488"/>
    </row>
    <row r="698" spans="1:26" s="485" customFormat="1" ht="45" x14ac:dyDescent="0.25">
      <c r="A698" s="385">
        <f t="shared" ref="A698" si="22">A697+1</f>
        <v>22</v>
      </c>
      <c r="B698" s="405" t="s">
        <v>1849</v>
      </c>
      <c r="C698" s="395" t="s">
        <v>1850</v>
      </c>
      <c r="D698" s="399" t="s">
        <v>2069</v>
      </c>
      <c r="E698" s="399" t="s">
        <v>2070</v>
      </c>
      <c r="F698" s="399" t="s">
        <v>1573</v>
      </c>
      <c r="G698" s="390" t="s">
        <v>49</v>
      </c>
      <c r="H698" s="390" t="s">
        <v>49</v>
      </c>
      <c r="I698" s="390" t="s">
        <v>49</v>
      </c>
      <c r="J698" s="390" t="s">
        <v>49</v>
      </c>
      <c r="K698" s="390" t="s">
        <v>49</v>
      </c>
      <c r="L698" s="400" t="s">
        <v>1594</v>
      </c>
      <c r="M698" s="399" t="s">
        <v>1651</v>
      </c>
      <c r="N698" s="406"/>
      <c r="O698" s="406"/>
      <c r="P698" s="406">
        <v>10000000</v>
      </c>
      <c r="Q698" s="403" t="s">
        <v>1976</v>
      </c>
    </row>
    <row r="699" spans="1:26" s="485" customFormat="1" ht="45" x14ac:dyDescent="0.25">
      <c r="A699" s="385">
        <v>23</v>
      </c>
      <c r="B699" s="405" t="s">
        <v>2071</v>
      </c>
      <c r="C699" s="395" t="s">
        <v>2072</v>
      </c>
      <c r="D699" s="388" t="s">
        <v>2073</v>
      </c>
      <c r="E699" s="388" t="s">
        <v>2074</v>
      </c>
      <c r="F699" s="388" t="s">
        <v>1261</v>
      </c>
      <c r="G699" s="390" t="s">
        <v>49</v>
      </c>
      <c r="H699" s="390" t="s">
        <v>49</v>
      </c>
      <c r="I699" s="390" t="s">
        <v>49</v>
      </c>
      <c r="J699" s="390" t="s">
        <v>49</v>
      </c>
      <c r="K699" s="390" t="s">
        <v>49</v>
      </c>
      <c r="L699" s="391" t="s">
        <v>595</v>
      </c>
      <c r="M699" s="389" t="s">
        <v>1489</v>
      </c>
      <c r="N699" s="397"/>
      <c r="O699" s="392"/>
      <c r="P699" s="392">
        <v>10000000</v>
      </c>
      <c r="Q699" s="414" t="s">
        <v>2075</v>
      </c>
    </row>
    <row r="700" spans="1:26" s="485" customFormat="1" ht="51" customHeight="1" x14ac:dyDescent="0.25">
      <c r="A700" s="385">
        <v>22</v>
      </c>
      <c r="B700" s="405" t="s">
        <v>531</v>
      </c>
      <c r="C700" s="395" t="s">
        <v>1677</v>
      </c>
      <c r="D700" s="433" t="s">
        <v>2081</v>
      </c>
      <c r="E700" s="460" t="s">
        <v>2082</v>
      </c>
      <c r="F700" s="388" t="s">
        <v>152</v>
      </c>
      <c r="G700" s="390" t="s">
        <v>49</v>
      </c>
      <c r="H700" s="390" t="s">
        <v>49</v>
      </c>
      <c r="I700" s="390" t="s">
        <v>49</v>
      </c>
      <c r="J700" s="390" t="s">
        <v>49</v>
      </c>
      <c r="K700" s="390" t="s">
        <v>49</v>
      </c>
      <c r="L700" s="391" t="s">
        <v>16</v>
      </c>
      <c r="M700" s="388" t="s">
        <v>1882</v>
      </c>
      <c r="N700" s="422"/>
      <c r="O700" s="422"/>
      <c r="P700" s="392">
        <v>7500000</v>
      </c>
      <c r="Q700" s="414" t="s">
        <v>1729</v>
      </c>
    </row>
    <row r="701" spans="1:26" s="485" customFormat="1" ht="33" customHeight="1" x14ac:dyDescent="0.25">
      <c r="A701" s="385">
        <f t="shared" ref="A701" si="23">A700+1</f>
        <v>23</v>
      </c>
      <c r="B701" s="405" t="s">
        <v>531</v>
      </c>
      <c r="C701" s="395" t="s">
        <v>1677</v>
      </c>
      <c r="D701" s="462" t="s">
        <v>2083</v>
      </c>
      <c r="E701" s="399" t="s">
        <v>1979</v>
      </c>
      <c r="F701" s="401" t="s">
        <v>152</v>
      </c>
      <c r="G701" s="390" t="s">
        <v>49</v>
      </c>
      <c r="H701" s="390" t="s">
        <v>49</v>
      </c>
      <c r="I701" s="390" t="s">
        <v>49</v>
      </c>
      <c r="J701" s="390" t="s">
        <v>49</v>
      </c>
      <c r="K701" s="390" t="s">
        <v>49</v>
      </c>
      <c r="L701" s="448" t="s">
        <v>632</v>
      </c>
      <c r="M701" s="385">
        <v>1</v>
      </c>
      <c r="N701" s="436"/>
      <c r="O701" s="450"/>
      <c r="P701" s="451">
        <v>10000000</v>
      </c>
      <c r="Q701" s="446" t="s">
        <v>1729</v>
      </c>
    </row>
    <row r="702" spans="1:26" s="485" customFormat="1" ht="66.75" customHeight="1" x14ac:dyDescent="0.25">
      <c r="A702" s="385">
        <v>24</v>
      </c>
      <c r="B702" s="405" t="s">
        <v>1361</v>
      </c>
      <c r="C702" s="395" t="s">
        <v>1737</v>
      </c>
      <c r="D702" s="389" t="s">
        <v>2086</v>
      </c>
      <c r="E702" s="389" t="s">
        <v>2087</v>
      </c>
      <c r="F702" s="389" t="s">
        <v>2088</v>
      </c>
      <c r="G702" s="385" t="s">
        <v>49</v>
      </c>
      <c r="H702" s="385"/>
      <c r="I702" s="390" t="s">
        <v>49</v>
      </c>
      <c r="J702" s="390" t="s">
        <v>49</v>
      </c>
      <c r="K702" s="390" t="s">
        <v>49</v>
      </c>
      <c r="L702" s="391" t="s">
        <v>2088</v>
      </c>
      <c r="M702" s="389" t="s">
        <v>2089</v>
      </c>
      <c r="N702" s="392"/>
      <c r="O702" s="397"/>
      <c r="P702" s="392">
        <v>3000000</v>
      </c>
      <c r="Q702" s="393" t="s">
        <v>1073</v>
      </c>
    </row>
    <row r="703" spans="1:26" s="485" customFormat="1" ht="75.75" customHeight="1" x14ac:dyDescent="0.25">
      <c r="A703" s="385">
        <v>23</v>
      </c>
      <c r="B703" s="405" t="s">
        <v>1361</v>
      </c>
      <c r="C703" s="395" t="s">
        <v>1737</v>
      </c>
      <c r="D703" s="399" t="s">
        <v>2090</v>
      </c>
      <c r="E703" s="399" t="s">
        <v>2091</v>
      </c>
      <c r="F703" s="401" t="s">
        <v>152</v>
      </c>
      <c r="G703" s="390" t="s">
        <v>49</v>
      </c>
      <c r="H703" s="390" t="s">
        <v>49</v>
      </c>
      <c r="I703" s="390" t="s">
        <v>49</v>
      </c>
      <c r="J703" s="390" t="s">
        <v>49</v>
      </c>
      <c r="K703" s="390" t="s">
        <v>49</v>
      </c>
      <c r="L703" s="448" t="s">
        <v>632</v>
      </c>
      <c r="M703" s="449">
        <v>2</v>
      </c>
      <c r="N703" s="436"/>
      <c r="O703" s="450"/>
      <c r="P703" s="451">
        <v>6000000</v>
      </c>
      <c r="Q703" s="446" t="s">
        <v>1073</v>
      </c>
    </row>
    <row r="704" spans="1:26" s="485" customFormat="1" ht="55.5" customHeight="1" x14ac:dyDescent="0.25">
      <c r="A704" s="385">
        <f t="shared" ref="A704" si="24">A703+1</f>
        <v>24</v>
      </c>
      <c r="B704" s="442" t="s">
        <v>1870</v>
      </c>
      <c r="C704" s="395" t="s">
        <v>423</v>
      </c>
      <c r="D704" s="389" t="s">
        <v>2092</v>
      </c>
      <c r="E704" s="388" t="s">
        <v>2093</v>
      </c>
      <c r="F704" s="388" t="s">
        <v>1758</v>
      </c>
      <c r="G704" s="389"/>
      <c r="H704" s="389"/>
      <c r="I704" s="389"/>
      <c r="J704" s="385" t="s">
        <v>49</v>
      </c>
      <c r="K704" s="389"/>
      <c r="L704" s="391" t="s">
        <v>1478</v>
      </c>
      <c r="M704" s="389" t="s">
        <v>2094</v>
      </c>
      <c r="N704" s="392"/>
      <c r="O704" s="392"/>
      <c r="P704" s="392">
        <v>5000000</v>
      </c>
      <c r="Q704" s="398" t="s">
        <v>277</v>
      </c>
      <c r="R704" s="488"/>
      <c r="S704" s="488"/>
      <c r="T704" s="488"/>
      <c r="U704" s="488"/>
      <c r="V704" s="488"/>
      <c r="W704" s="488"/>
      <c r="X704" s="488"/>
      <c r="Y704" s="488"/>
      <c r="Z704" s="488"/>
    </row>
    <row r="705" spans="1:26" s="485" customFormat="1" ht="30" x14ac:dyDescent="0.25">
      <c r="A705" s="385">
        <v>25</v>
      </c>
      <c r="B705" s="405" t="s">
        <v>2095</v>
      </c>
      <c r="C705" s="395" t="s">
        <v>2096</v>
      </c>
      <c r="D705" s="399" t="s">
        <v>2097</v>
      </c>
      <c r="E705" s="399" t="s">
        <v>1649</v>
      </c>
      <c r="F705" s="399" t="s">
        <v>1573</v>
      </c>
      <c r="G705" s="390" t="s">
        <v>49</v>
      </c>
      <c r="H705" s="390" t="s">
        <v>49</v>
      </c>
      <c r="I705" s="390" t="s">
        <v>49</v>
      </c>
      <c r="J705" s="390" t="s">
        <v>49</v>
      </c>
      <c r="K705" s="390" t="s">
        <v>49</v>
      </c>
      <c r="L705" s="400" t="s">
        <v>2098</v>
      </c>
      <c r="M705" s="399" t="s">
        <v>1595</v>
      </c>
      <c r="N705" s="406"/>
      <c r="O705" s="406"/>
      <c r="P705" s="406">
        <v>3000000</v>
      </c>
      <c r="Q705" s="403" t="s">
        <v>277</v>
      </c>
    </row>
    <row r="706" spans="1:26" s="485" customFormat="1" ht="48" customHeight="1" x14ac:dyDescent="0.25">
      <c r="A706" s="385">
        <v>24</v>
      </c>
      <c r="B706" s="405" t="s">
        <v>531</v>
      </c>
      <c r="C706" s="395" t="s">
        <v>1677</v>
      </c>
      <c r="D706" s="399" t="s">
        <v>2099</v>
      </c>
      <c r="E706" s="399" t="s">
        <v>2100</v>
      </c>
      <c r="F706" s="399" t="s">
        <v>1573</v>
      </c>
      <c r="G706" s="390" t="s">
        <v>49</v>
      </c>
      <c r="H706" s="390" t="s">
        <v>49</v>
      </c>
      <c r="I706" s="390" t="s">
        <v>49</v>
      </c>
      <c r="J706" s="390" t="s">
        <v>49</v>
      </c>
      <c r="K706" s="390" t="s">
        <v>49</v>
      </c>
      <c r="L706" s="400" t="s">
        <v>1661</v>
      </c>
      <c r="M706" s="399" t="s">
        <v>2046</v>
      </c>
      <c r="N706" s="406"/>
      <c r="O706" s="406"/>
      <c r="P706" s="406">
        <v>1000000</v>
      </c>
      <c r="Q706" s="403" t="s">
        <v>277</v>
      </c>
      <c r="R706" s="487"/>
      <c r="S706" s="487"/>
      <c r="T706" s="487"/>
      <c r="U706" s="487"/>
      <c r="V706" s="487"/>
      <c r="W706" s="487"/>
      <c r="X706" s="487"/>
      <c r="Y706" s="487"/>
      <c r="Z706" s="487"/>
    </row>
    <row r="707" spans="1:26" s="485" customFormat="1" ht="75" x14ac:dyDescent="0.25">
      <c r="A707" s="385">
        <f t="shared" ref="A707" si="25">A706+1</f>
        <v>25</v>
      </c>
      <c r="B707" s="405" t="s">
        <v>1740</v>
      </c>
      <c r="C707" s="395" t="s">
        <v>1741</v>
      </c>
      <c r="D707" s="388" t="s">
        <v>2101</v>
      </c>
      <c r="E707" s="433" t="s">
        <v>2102</v>
      </c>
      <c r="F707" s="388" t="s">
        <v>2103</v>
      </c>
      <c r="G707" s="495"/>
      <c r="H707" s="495"/>
      <c r="I707" s="385" t="s">
        <v>49</v>
      </c>
      <c r="J707" s="496"/>
      <c r="K707" s="495"/>
      <c r="L707" s="391" t="s">
        <v>16</v>
      </c>
      <c r="M707" s="388" t="s">
        <v>2104</v>
      </c>
      <c r="N707" s="397"/>
      <c r="O707" s="420"/>
      <c r="P707" s="392">
        <v>1200000</v>
      </c>
      <c r="Q707" s="393" t="s">
        <v>277</v>
      </c>
    </row>
    <row r="708" spans="1:26" s="485" customFormat="1" ht="36.75" customHeight="1" x14ac:dyDescent="0.25">
      <c r="A708" s="385">
        <v>26</v>
      </c>
      <c r="B708" s="405" t="s">
        <v>1740</v>
      </c>
      <c r="C708" s="395" t="s">
        <v>1741</v>
      </c>
      <c r="D708" s="388" t="s">
        <v>2105</v>
      </c>
      <c r="E708" s="388" t="s">
        <v>2106</v>
      </c>
      <c r="F708" s="388" t="s">
        <v>2103</v>
      </c>
      <c r="G708" s="390" t="s">
        <v>49</v>
      </c>
      <c r="H708" s="390" t="s">
        <v>49</v>
      </c>
      <c r="I708" s="390" t="s">
        <v>49</v>
      </c>
      <c r="J708" s="390" t="s">
        <v>49</v>
      </c>
      <c r="K708" s="390" t="s">
        <v>49</v>
      </c>
      <c r="L708" s="391" t="s">
        <v>16</v>
      </c>
      <c r="M708" s="388" t="s">
        <v>1595</v>
      </c>
      <c r="N708" s="397"/>
      <c r="O708" s="397"/>
      <c r="P708" s="392">
        <v>1200000</v>
      </c>
      <c r="Q708" s="393" t="s">
        <v>277</v>
      </c>
    </row>
    <row r="709" spans="1:26" s="485" customFormat="1" ht="30" x14ac:dyDescent="0.25">
      <c r="A709" s="385">
        <v>25</v>
      </c>
      <c r="B709" s="453" t="s">
        <v>858</v>
      </c>
      <c r="C709" s="387" t="s">
        <v>1747</v>
      </c>
      <c r="D709" s="399" t="s">
        <v>2107</v>
      </c>
      <c r="E709" s="399" t="s">
        <v>2108</v>
      </c>
      <c r="F709" s="401" t="s">
        <v>2109</v>
      </c>
      <c r="G709" s="390" t="s">
        <v>49</v>
      </c>
      <c r="H709" s="390" t="s">
        <v>49</v>
      </c>
      <c r="I709" s="390" t="s">
        <v>49</v>
      </c>
      <c r="J709" s="390" t="s">
        <v>49</v>
      </c>
      <c r="K709" s="390" t="s">
        <v>49</v>
      </c>
      <c r="L709" s="448" t="s">
        <v>632</v>
      </c>
      <c r="M709" s="449">
        <v>20</v>
      </c>
      <c r="N709" s="436"/>
      <c r="O709" s="450"/>
      <c r="P709" s="451">
        <v>3000000</v>
      </c>
      <c r="Q709" s="446" t="s">
        <v>277</v>
      </c>
      <c r="R709" s="497"/>
      <c r="S709" s="497"/>
      <c r="T709" s="497"/>
      <c r="U709" s="497"/>
      <c r="V709" s="497"/>
      <c r="W709" s="497"/>
      <c r="X709" s="497"/>
      <c r="Y709" s="497"/>
      <c r="Z709" s="497"/>
    </row>
    <row r="710" spans="1:26" s="485" customFormat="1" ht="30" x14ac:dyDescent="0.25">
      <c r="A710" s="385">
        <f t="shared" ref="A710" si="26">A709+1</f>
        <v>26</v>
      </c>
      <c r="B710" s="405" t="s">
        <v>531</v>
      </c>
      <c r="C710" s="395" t="s">
        <v>1677</v>
      </c>
      <c r="D710" s="399" t="s">
        <v>2110</v>
      </c>
      <c r="E710" s="399" t="s">
        <v>2111</v>
      </c>
      <c r="F710" s="401" t="s">
        <v>2112</v>
      </c>
      <c r="G710" s="390" t="s">
        <v>49</v>
      </c>
      <c r="H710" s="390" t="s">
        <v>49</v>
      </c>
      <c r="I710" s="390" t="s">
        <v>49</v>
      </c>
      <c r="J710" s="390" t="s">
        <v>49</v>
      </c>
      <c r="K710" s="390" t="s">
        <v>49</v>
      </c>
      <c r="L710" s="448" t="s">
        <v>632</v>
      </c>
      <c r="M710" s="449">
        <v>12</v>
      </c>
      <c r="N710" s="436"/>
      <c r="O710" s="450"/>
      <c r="P710" s="451">
        <v>1800000</v>
      </c>
      <c r="Q710" s="446" t="s">
        <v>277</v>
      </c>
      <c r="R710" s="497"/>
      <c r="S710" s="497"/>
      <c r="T710" s="497"/>
      <c r="U710" s="497"/>
      <c r="V710" s="497"/>
      <c r="W710" s="497"/>
      <c r="X710" s="497"/>
      <c r="Y710" s="497"/>
      <c r="Z710" s="497"/>
    </row>
    <row r="711" spans="1:26" s="485" customFormat="1" ht="30" x14ac:dyDescent="0.25">
      <c r="A711" s="385">
        <v>27</v>
      </c>
      <c r="B711" s="405" t="s">
        <v>531</v>
      </c>
      <c r="C711" s="395" t="s">
        <v>1677</v>
      </c>
      <c r="D711" s="399" t="s">
        <v>2113</v>
      </c>
      <c r="E711" s="399" t="s">
        <v>2111</v>
      </c>
      <c r="F711" s="401" t="s">
        <v>2114</v>
      </c>
      <c r="G711" s="390" t="s">
        <v>49</v>
      </c>
      <c r="H711" s="390" t="s">
        <v>49</v>
      </c>
      <c r="I711" s="390" t="s">
        <v>49</v>
      </c>
      <c r="J711" s="390" t="s">
        <v>49</v>
      </c>
      <c r="K711" s="390" t="s">
        <v>49</v>
      </c>
      <c r="L711" s="448" t="s">
        <v>632</v>
      </c>
      <c r="M711" s="449">
        <v>1</v>
      </c>
      <c r="N711" s="436"/>
      <c r="O711" s="450"/>
      <c r="P711" s="451">
        <v>6000000</v>
      </c>
      <c r="Q711" s="446" t="s">
        <v>277</v>
      </c>
      <c r="R711" s="497"/>
      <c r="S711" s="497"/>
      <c r="T711" s="497"/>
      <c r="U711" s="497"/>
      <c r="V711" s="497"/>
      <c r="W711" s="497"/>
      <c r="X711" s="497"/>
      <c r="Y711" s="497"/>
      <c r="Z711" s="497"/>
    </row>
    <row r="712" spans="1:26" s="485" customFormat="1" ht="45" x14ac:dyDescent="0.25">
      <c r="A712" s="385">
        <v>26</v>
      </c>
      <c r="B712" s="447" t="s">
        <v>1804</v>
      </c>
      <c r="C712" s="387" t="s">
        <v>1805</v>
      </c>
      <c r="D712" s="399" t="s">
        <v>2115</v>
      </c>
      <c r="E712" s="399" t="s">
        <v>2116</v>
      </c>
      <c r="F712" s="401" t="s">
        <v>152</v>
      </c>
      <c r="G712" s="390" t="s">
        <v>49</v>
      </c>
      <c r="H712" s="390" t="s">
        <v>49</v>
      </c>
      <c r="I712" s="390" t="s">
        <v>49</v>
      </c>
      <c r="J712" s="390" t="s">
        <v>49</v>
      </c>
      <c r="K712" s="390" t="s">
        <v>49</v>
      </c>
      <c r="L712" s="448" t="s">
        <v>632</v>
      </c>
      <c r="M712" s="385">
        <v>1</v>
      </c>
      <c r="N712" s="436"/>
      <c r="O712" s="450"/>
      <c r="P712" s="451">
        <v>2500000</v>
      </c>
      <c r="Q712" s="446" t="s">
        <v>200</v>
      </c>
      <c r="R712" s="497"/>
      <c r="S712" s="497"/>
      <c r="T712" s="497"/>
      <c r="U712" s="497"/>
      <c r="V712" s="497"/>
      <c r="W712" s="497"/>
      <c r="X712" s="497"/>
      <c r="Y712" s="497"/>
      <c r="Z712" s="497"/>
    </row>
    <row r="713" spans="1:26" s="485" customFormat="1" ht="30" x14ac:dyDescent="0.25">
      <c r="A713" s="385">
        <f t="shared" ref="A713" si="27">A712+1</f>
        <v>27</v>
      </c>
      <c r="B713" s="405" t="s">
        <v>531</v>
      </c>
      <c r="C713" s="395" t="s">
        <v>1677</v>
      </c>
      <c r="D713" s="399" t="s">
        <v>2168</v>
      </c>
      <c r="E713" s="399" t="s">
        <v>2169</v>
      </c>
      <c r="F713" s="399" t="s">
        <v>1573</v>
      </c>
      <c r="G713" s="390" t="s">
        <v>49</v>
      </c>
      <c r="H713" s="390" t="s">
        <v>49</v>
      </c>
      <c r="I713" s="390" t="s">
        <v>49</v>
      </c>
      <c r="J713" s="390" t="s">
        <v>49</v>
      </c>
      <c r="K713" s="390" t="s">
        <v>49</v>
      </c>
      <c r="L713" s="400" t="s">
        <v>148</v>
      </c>
      <c r="M713" s="399" t="s">
        <v>1489</v>
      </c>
      <c r="N713" s="406"/>
      <c r="O713" s="406"/>
      <c r="P713" s="406">
        <v>5000000</v>
      </c>
      <c r="Q713" s="403" t="s">
        <v>2170</v>
      </c>
    </row>
    <row r="714" spans="1:26" s="485" customFormat="1" ht="30" x14ac:dyDescent="0.25">
      <c r="A714" s="385">
        <v>28</v>
      </c>
      <c r="B714" s="405" t="s">
        <v>531</v>
      </c>
      <c r="C714" s="395" t="s">
        <v>1677</v>
      </c>
      <c r="D714" s="399" t="s">
        <v>2171</v>
      </c>
      <c r="E714" s="399" t="s">
        <v>2172</v>
      </c>
      <c r="F714" s="399" t="s">
        <v>2173</v>
      </c>
      <c r="G714" s="390" t="s">
        <v>49</v>
      </c>
      <c r="H714" s="390" t="s">
        <v>49</v>
      </c>
      <c r="I714" s="390" t="s">
        <v>49</v>
      </c>
      <c r="J714" s="390" t="s">
        <v>49</v>
      </c>
      <c r="K714" s="390" t="s">
        <v>49</v>
      </c>
      <c r="L714" s="400" t="s">
        <v>2174</v>
      </c>
      <c r="M714" s="399" t="s">
        <v>2175</v>
      </c>
      <c r="N714" s="406"/>
      <c r="O714" s="406"/>
      <c r="P714" s="406">
        <v>5000000</v>
      </c>
      <c r="Q714" s="403" t="s">
        <v>2170</v>
      </c>
    </row>
    <row r="715" spans="1:26" ht="15.75" customHeight="1" x14ac:dyDescent="0.25">
      <c r="A715" s="89"/>
      <c r="B715" s="89"/>
      <c r="C715" s="89"/>
      <c r="D715" s="89"/>
      <c r="E715" s="89"/>
      <c r="F715" s="89"/>
      <c r="G715" s="89"/>
      <c r="H715" s="89"/>
      <c r="I715" s="89"/>
      <c r="J715" s="89"/>
      <c r="K715" s="89"/>
      <c r="L715" s="89"/>
      <c r="M715" s="89"/>
      <c r="N715" s="90"/>
      <c r="O715" s="90"/>
      <c r="P715" s="90"/>
      <c r="Q715" s="89"/>
    </row>
    <row r="716" spans="1:26" ht="15.75" customHeight="1" x14ac:dyDescent="0.25">
      <c r="A716" s="89"/>
      <c r="B716" s="89"/>
      <c r="C716" s="89"/>
      <c r="D716" s="89"/>
      <c r="E716" s="89"/>
      <c r="F716" s="89"/>
      <c r="G716" s="89"/>
      <c r="H716" s="89"/>
      <c r="I716" s="89"/>
      <c r="J716" s="89"/>
      <c r="K716" s="89"/>
      <c r="L716" s="89"/>
      <c r="M716" s="89"/>
      <c r="N716" s="90"/>
      <c r="O716" s="90"/>
      <c r="P716" s="90"/>
      <c r="Q716" s="89"/>
    </row>
    <row r="717" spans="1:26" ht="15.75" customHeight="1" x14ac:dyDescent="0.25">
      <c r="A717" s="89"/>
      <c r="B717" s="89"/>
      <c r="C717" s="89"/>
      <c r="D717" s="89"/>
      <c r="E717" s="89"/>
      <c r="F717" s="89"/>
      <c r="G717" s="89"/>
      <c r="H717" s="89"/>
      <c r="I717" s="89"/>
      <c r="J717" s="89"/>
      <c r="K717" s="89"/>
      <c r="L717" s="89"/>
      <c r="M717" s="89"/>
      <c r="N717" s="90"/>
      <c r="O717" s="90"/>
      <c r="P717" s="90"/>
      <c r="Q717" s="89"/>
    </row>
    <row r="718" spans="1:26" ht="15.75" customHeight="1" x14ac:dyDescent="0.25">
      <c r="A718" s="89"/>
      <c r="B718" s="89"/>
      <c r="C718" s="89"/>
      <c r="D718" s="89"/>
      <c r="E718" s="89"/>
      <c r="F718" s="89"/>
      <c r="G718" s="89"/>
      <c r="H718" s="89"/>
      <c r="I718" s="89"/>
      <c r="J718" s="89"/>
      <c r="K718" s="89"/>
      <c r="L718" s="89"/>
      <c r="M718" s="89"/>
      <c r="N718" s="90"/>
      <c r="O718" s="90"/>
      <c r="P718" s="90"/>
      <c r="Q718" s="89"/>
    </row>
    <row r="719" spans="1:26" ht="15.75" customHeight="1" x14ac:dyDescent="0.25">
      <c r="A719" s="89"/>
      <c r="B719" s="89"/>
      <c r="C719" s="89"/>
      <c r="D719" s="89"/>
      <c r="E719" s="89"/>
      <c r="F719" s="89"/>
      <c r="G719" s="89"/>
      <c r="H719" s="89"/>
      <c r="I719" s="89"/>
      <c r="J719" s="89"/>
      <c r="K719" s="89"/>
      <c r="L719" s="89"/>
      <c r="M719" s="89"/>
      <c r="N719" s="90"/>
      <c r="O719" s="90"/>
      <c r="P719" s="90"/>
      <c r="Q719" s="89"/>
    </row>
    <row r="720" spans="1:26" ht="15.75" customHeight="1" x14ac:dyDescent="0.25">
      <c r="A720" s="89"/>
      <c r="B720" s="89"/>
      <c r="C720" s="89"/>
      <c r="D720" s="89"/>
      <c r="E720" s="89"/>
      <c r="F720" s="89"/>
      <c r="G720" s="89"/>
      <c r="H720" s="89"/>
      <c r="I720" s="89"/>
      <c r="J720" s="89"/>
      <c r="K720" s="89"/>
      <c r="L720" s="89"/>
      <c r="M720" s="89"/>
      <c r="N720" s="90"/>
      <c r="O720" s="90"/>
      <c r="P720" s="90"/>
      <c r="Q720" s="89"/>
    </row>
    <row r="721" spans="1:17" ht="15.75" customHeight="1" x14ac:dyDescent="0.25">
      <c r="A721" s="89"/>
      <c r="B721" s="89"/>
      <c r="C721" s="89"/>
      <c r="D721" s="89"/>
      <c r="E721" s="89"/>
      <c r="F721" s="89"/>
      <c r="G721" s="89"/>
      <c r="H721" s="89"/>
      <c r="I721" s="89"/>
      <c r="J721" s="89"/>
      <c r="K721" s="89"/>
      <c r="L721" s="89"/>
      <c r="M721" s="89"/>
      <c r="N721" s="90"/>
      <c r="O721" s="90"/>
      <c r="P721" s="90"/>
      <c r="Q721" s="89"/>
    </row>
    <row r="722" spans="1:17" ht="15.75" customHeight="1" x14ac:dyDescent="0.25">
      <c r="A722" s="89"/>
      <c r="B722" s="89"/>
      <c r="C722" s="89"/>
      <c r="D722" s="89"/>
      <c r="E722" s="89"/>
      <c r="F722" s="89"/>
      <c r="G722" s="89"/>
      <c r="H722" s="89"/>
      <c r="I722" s="89"/>
      <c r="J722" s="89"/>
      <c r="K722" s="89"/>
      <c r="L722" s="89"/>
      <c r="M722" s="89"/>
      <c r="N722" s="90"/>
      <c r="O722" s="90"/>
      <c r="P722" s="90"/>
      <c r="Q722" s="89"/>
    </row>
    <row r="723" spans="1:17" ht="15.75" customHeight="1" x14ac:dyDescent="0.25">
      <c r="A723" s="89"/>
      <c r="B723" s="89"/>
      <c r="C723" s="89"/>
      <c r="D723" s="89"/>
      <c r="E723" s="89"/>
      <c r="F723" s="89"/>
      <c r="G723" s="89"/>
      <c r="H723" s="89"/>
      <c r="I723" s="89"/>
      <c r="J723" s="89"/>
      <c r="K723" s="89"/>
      <c r="L723" s="89"/>
      <c r="M723" s="89"/>
      <c r="N723" s="90"/>
      <c r="O723" s="90"/>
      <c r="P723" s="90"/>
      <c r="Q723" s="89"/>
    </row>
    <row r="724" spans="1:17" ht="15.75" customHeight="1" x14ac:dyDescent="0.25">
      <c r="A724" s="89"/>
      <c r="B724" s="89"/>
      <c r="C724" s="89"/>
      <c r="D724" s="89"/>
      <c r="E724" s="89"/>
      <c r="F724" s="89"/>
      <c r="G724" s="89"/>
      <c r="H724" s="89"/>
      <c r="I724" s="89"/>
      <c r="J724" s="89"/>
      <c r="K724" s="89"/>
      <c r="L724" s="89"/>
      <c r="M724" s="89"/>
      <c r="N724" s="90"/>
      <c r="O724" s="90"/>
      <c r="P724" s="90"/>
      <c r="Q724" s="89"/>
    </row>
    <row r="725" spans="1:17" ht="15.75" customHeight="1" x14ac:dyDescent="0.25">
      <c r="A725" s="89"/>
      <c r="B725" s="89"/>
      <c r="C725" s="89"/>
      <c r="D725" s="89"/>
      <c r="E725" s="89"/>
      <c r="F725" s="89"/>
      <c r="G725" s="89"/>
      <c r="H725" s="89"/>
      <c r="I725" s="89"/>
      <c r="J725" s="89"/>
      <c r="K725" s="89"/>
      <c r="L725" s="89"/>
      <c r="M725" s="89"/>
      <c r="N725" s="90"/>
      <c r="O725" s="90"/>
      <c r="P725" s="90"/>
      <c r="Q725" s="89"/>
    </row>
    <row r="726" spans="1:17" ht="15.75" customHeight="1" x14ac:dyDescent="0.25">
      <c r="A726" s="89"/>
      <c r="B726" s="89"/>
      <c r="C726" s="89"/>
      <c r="D726" s="89"/>
      <c r="E726" s="89"/>
      <c r="F726" s="89"/>
      <c r="G726" s="89"/>
      <c r="H726" s="89"/>
      <c r="I726" s="89"/>
      <c r="J726" s="89"/>
      <c r="K726" s="89"/>
      <c r="L726" s="89"/>
      <c r="M726" s="89"/>
      <c r="N726" s="90"/>
      <c r="O726" s="90"/>
      <c r="P726" s="90"/>
      <c r="Q726" s="89"/>
    </row>
    <row r="727" spans="1:17" ht="15.75" customHeight="1" x14ac:dyDescent="0.25">
      <c r="A727" s="89"/>
      <c r="B727" s="89"/>
      <c r="C727" s="89"/>
      <c r="D727" s="89"/>
      <c r="E727" s="89"/>
      <c r="F727" s="89"/>
      <c r="G727" s="89"/>
      <c r="H727" s="89"/>
      <c r="I727" s="89"/>
      <c r="J727" s="89"/>
      <c r="K727" s="89"/>
      <c r="L727" s="89"/>
      <c r="M727" s="89"/>
      <c r="N727" s="90"/>
      <c r="O727" s="90"/>
      <c r="P727" s="90"/>
      <c r="Q727" s="89"/>
    </row>
    <row r="728" spans="1:17" ht="15.75" customHeight="1" x14ac:dyDescent="0.25">
      <c r="A728" s="89"/>
      <c r="B728" s="89"/>
      <c r="C728" s="89"/>
      <c r="D728" s="89"/>
      <c r="E728" s="89"/>
      <c r="F728" s="89"/>
      <c r="G728" s="89"/>
      <c r="H728" s="89"/>
      <c r="I728" s="89"/>
      <c r="J728" s="89"/>
      <c r="K728" s="89"/>
      <c r="L728" s="89"/>
      <c r="M728" s="89"/>
      <c r="N728" s="90"/>
      <c r="O728" s="90"/>
      <c r="P728" s="90"/>
      <c r="Q728" s="89"/>
    </row>
    <row r="729" spans="1:17" ht="15.75" customHeight="1" x14ac:dyDescent="0.25">
      <c r="A729" s="89"/>
      <c r="B729" s="89"/>
      <c r="C729" s="89"/>
      <c r="D729" s="89"/>
      <c r="E729" s="89"/>
      <c r="F729" s="89"/>
      <c r="G729" s="89"/>
      <c r="H729" s="89"/>
      <c r="I729" s="89"/>
      <c r="J729" s="89"/>
      <c r="K729" s="89"/>
      <c r="L729" s="89"/>
      <c r="M729" s="89"/>
      <c r="N729" s="90"/>
      <c r="O729" s="90"/>
      <c r="P729" s="90"/>
      <c r="Q729" s="89"/>
    </row>
    <row r="730" spans="1:17" ht="15.75" customHeight="1" x14ac:dyDescent="0.25">
      <c r="A730" s="89"/>
      <c r="B730" s="89"/>
      <c r="C730" s="89"/>
      <c r="D730" s="89"/>
      <c r="E730" s="89"/>
      <c r="F730" s="89"/>
      <c r="G730" s="89"/>
      <c r="H730" s="89"/>
      <c r="I730" s="89"/>
      <c r="J730" s="89"/>
      <c r="K730" s="89"/>
      <c r="L730" s="89"/>
      <c r="M730" s="89"/>
      <c r="N730" s="90"/>
      <c r="O730" s="90"/>
      <c r="P730" s="90"/>
      <c r="Q730" s="89"/>
    </row>
    <row r="731" spans="1:17" ht="15.75" customHeight="1" x14ac:dyDescent="0.25">
      <c r="A731" s="89"/>
      <c r="B731" s="89"/>
      <c r="C731" s="89"/>
      <c r="D731" s="89"/>
      <c r="E731" s="89"/>
      <c r="F731" s="89"/>
      <c r="G731" s="89"/>
      <c r="H731" s="89"/>
      <c r="I731" s="89"/>
      <c r="J731" s="89"/>
      <c r="K731" s="89"/>
      <c r="L731" s="89"/>
      <c r="M731" s="89"/>
      <c r="N731" s="90"/>
      <c r="O731" s="90"/>
      <c r="P731" s="90"/>
      <c r="Q731" s="89"/>
    </row>
    <row r="732" spans="1:17" ht="15.75" customHeight="1" x14ac:dyDescent="0.25">
      <c r="A732" s="89"/>
      <c r="B732" s="89"/>
      <c r="C732" s="89"/>
      <c r="D732" s="89"/>
      <c r="E732" s="89"/>
      <c r="F732" s="89"/>
      <c r="G732" s="89"/>
      <c r="H732" s="89"/>
      <c r="I732" s="89"/>
      <c r="J732" s="89"/>
      <c r="K732" s="89"/>
      <c r="L732" s="89"/>
      <c r="M732" s="89"/>
      <c r="N732" s="90"/>
      <c r="O732" s="90"/>
      <c r="P732" s="90"/>
      <c r="Q732" s="89"/>
    </row>
    <row r="733" spans="1:17" ht="15.75" customHeight="1" x14ac:dyDescent="0.25">
      <c r="A733" s="89"/>
      <c r="B733" s="89"/>
      <c r="C733" s="89"/>
      <c r="D733" s="89"/>
      <c r="E733" s="89"/>
      <c r="F733" s="89"/>
      <c r="G733" s="89"/>
      <c r="H733" s="89"/>
      <c r="I733" s="89"/>
      <c r="J733" s="89"/>
      <c r="K733" s="89"/>
      <c r="L733" s="89"/>
      <c r="M733" s="89"/>
      <c r="N733" s="90"/>
      <c r="O733" s="90"/>
      <c r="P733" s="90"/>
      <c r="Q733" s="89"/>
    </row>
    <row r="734" spans="1:17" ht="15.75" customHeight="1" x14ac:dyDescent="0.25">
      <c r="A734" s="89"/>
      <c r="B734" s="89"/>
      <c r="C734" s="89"/>
      <c r="D734" s="89"/>
      <c r="E734" s="89"/>
      <c r="F734" s="89"/>
      <c r="G734" s="89"/>
      <c r="H734" s="89"/>
      <c r="I734" s="89"/>
      <c r="J734" s="89"/>
      <c r="K734" s="89"/>
      <c r="L734" s="89"/>
      <c r="M734" s="89"/>
      <c r="N734" s="90"/>
      <c r="O734" s="90"/>
      <c r="P734" s="90"/>
      <c r="Q734" s="89"/>
    </row>
    <row r="735" spans="1:17" ht="15.75" customHeight="1" x14ac:dyDescent="0.25">
      <c r="A735" s="89"/>
      <c r="B735" s="89"/>
      <c r="C735" s="89"/>
      <c r="D735" s="89"/>
      <c r="E735" s="89"/>
      <c r="F735" s="89"/>
      <c r="G735" s="89"/>
      <c r="H735" s="89"/>
      <c r="I735" s="89"/>
      <c r="J735" s="89"/>
      <c r="K735" s="89"/>
      <c r="L735" s="89"/>
      <c r="M735" s="89"/>
      <c r="N735" s="90"/>
      <c r="O735" s="90"/>
      <c r="P735" s="90"/>
      <c r="Q735" s="89"/>
    </row>
    <row r="736" spans="1:17" ht="15.75" customHeight="1" x14ac:dyDescent="0.25">
      <c r="A736" s="89"/>
      <c r="B736" s="89"/>
      <c r="C736" s="89"/>
      <c r="D736" s="89"/>
      <c r="E736" s="89"/>
      <c r="F736" s="89"/>
      <c r="G736" s="89"/>
      <c r="H736" s="89"/>
      <c r="I736" s="89"/>
      <c r="J736" s="89"/>
      <c r="K736" s="89"/>
      <c r="L736" s="89"/>
      <c r="M736" s="89"/>
      <c r="N736" s="90"/>
      <c r="O736" s="90"/>
      <c r="P736" s="90"/>
      <c r="Q736" s="89"/>
    </row>
    <row r="737" spans="1:17" ht="15.75" customHeight="1" x14ac:dyDescent="0.25">
      <c r="A737" s="89"/>
      <c r="B737" s="89"/>
      <c r="C737" s="89"/>
      <c r="D737" s="89"/>
      <c r="E737" s="89"/>
      <c r="F737" s="89"/>
      <c r="G737" s="89"/>
      <c r="H737" s="89"/>
      <c r="I737" s="89"/>
      <c r="J737" s="89"/>
      <c r="K737" s="89"/>
      <c r="L737" s="89"/>
      <c r="M737" s="89"/>
      <c r="N737" s="90"/>
      <c r="O737" s="90"/>
      <c r="P737" s="90"/>
      <c r="Q737" s="89"/>
    </row>
    <row r="738" spans="1:17" ht="15.75" customHeight="1" x14ac:dyDescent="0.25">
      <c r="A738" s="89"/>
      <c r="B738" s="89"/>
      <c r="C738" s="89"/>
      <c r="D738" s="89"/>
      <c r="E738" s="89"/>
      <c r="F738" s="89"/>
      <c r="G738" s="89"/>
      <c r="H738" s="89"/>
      <c r="I738" s="89"/>
      <c r="J738" s="89"/>
      <c r="K738" s="89"/>
      <c r="L738" s="89"/>
      <c r="M738" s="89"/>
      <c r="N738" s="90"/>
      <c r="O738" s="90"/>
      <c r="P738" s="90"/>
      <c r="Q738" s="89"/>
    </row>
    <row r="739" spans="1:17" ht="15.75" customHeight="1" x14ac:dyDescent="0.25">
      <c r="A739" s="89"/>
      <c r="B739" s="89"/>
      <c r="C739" s="89"/>
      <c r="D739" s="89"/>
      <c r="E739" s="89"/>
      <c r="F739" s="89"/>
      <c r="G739" s="89"/>
      <c r="H739" s="89"/>
      <c r="I739" s="89"/>
      <c r="J739" s="89"/>
      <c r="K739" s="89"/>
      <c r="L739" s="89"/>
      <c r="M739" s="89"/>
      <c r="N739" s="90"/>
      <c r="O739" s="90"/>
      <c r="P739" s="90"/>
      <c r="Q739" s="89"/>
    </row>
    <row r="740" spans="1:17" ht="15.75" customHeight="1" x14ac:dyDescent="0.25">
      <c r="A740" s="89"/>
      <c r="B740" s="89"/>
      <c r="C740" s="89"/>
      <c r="D740" s="89"/>
      <c r="E740" s="89"/>
      <c r="F740" s="89"/>
      <c r="G740" s="89"/>
      <c r="H740" s="89"/>
      <c r="I740" s="89"/>
      <c r="J740" s="89"/>
      <c r="K740" s="89"/>
      <c r="L740" s="89"/>
      <c r="M740" s="89"/>
      <c r="N740" s="90"/>
      <c r="O740" s="90"/>
      <c r="P740" s="90"/>
      <c r="Q740" s="89"/>
    </row>
    <row r="741" spans="1:17" ht="15.75" customHeight="1" x14ac:dyDescent="0.25">
      <c r="A741" s="89"/>
      <c r="B741" s="89"/>
      <c r="C741" s="89"/>
      <c r="D741" s="89"/>
      <c r="E741" s="89"/>
      <c r="F741" s="89"/>
      <c r="G741" s="89"/>
      <c r="H741" s="89"/>
      <c r="I741" s="89"/>
      <c r="J741" s="89"/>
      <c r="K741" s="89"/>
      <c r="L741" s="89"/>
      <c r="M741" s="89"/>
      <c r="N741" s="90"/>
      <c r="O741" s="90"/>
      <c r="P741" s="90"/>
      <c r="Q741" s="89"/>
    </row>
    <row r="742" spans="1:17" ht="15.75" customHeight="1" x14ac:dyDescent="0.25">
      <c r="A742" s="89"/>
      <c r="B742" s="89"/>
      <c r="C742" s="89"/>
      <c r="D742" s="89"/>
      <c r="E742" s="89"/>
      <c r="F742" s="89"/>
      <c r="G742" s="89"/>
      <c r="H742" s="89"/>
      <c r="I742" s="89"/>
      <c r="J742" s="89"/>
      <c r="K742" s="89"/>
      <c r="L742" s="89"/>
      <c r="M742" s="89"/>
      <c r="N742" s="90"/>
      <c r="O742" s="90"/>
      <c r="P742" s="90"/>
      <c r="Q742" s="89"/>
    </row>
    <row r="743" spans="1:17" ht="15.75" customHeight="1" x14ac:dyDescent="0.25">
      <c r="A743" s="89"/>
      <c r="B743" s="89"/>
      <c r="C743" s="89"/>
      <c r="D743" s="89"/>
      <c r="E743" s="89"/>
      <c r="F743" s="89"/>
      <c r="G743" s="89"/>
      <c r="H743" s="89"/>
      <c r="I743" s="89"/>
      <c r="J743" s="89"/>
      <c r="K743" s="89"/>
      <c r="L743" s="89"/>
      <c r="M743" s="89"/>
      <c r="N743" s="90"/>
      <c r="O743" s="90"/>
      <c r="P743" s="90"/>
      <c r="Q743" s="89"/>
    </row>
    <row r="744" spans="1:17" ht="15.75" customHeight="1" x14ac:dyDescent="0.25">
      <c r="A744" s="89"/>
      <c r="B744" s="89"/>
      <c r="C744" s="89"/>
      <c r="D744" s="89"/>
      <c r="E744" s="89"/>
      <c r="F744" s="89"/>
      <c r="G744" s="89"/>
      <c r="H744" s="89"/>
      <c r="I744" s="89"/>
      <c r="J744" s="89"/>
      <c r="K744" s="89"/>
      <c r="L744" s="89"/>
      <c r="M744" s="89"/>
      <c r="N744" s="90"/>
      <c r="O744" s="90"/>
      <c r="P744" s="90"/>
      <c r="Q744" s="89"/>
    </row>
    <row r="745" spans="1:17" ht="15.75" customHeight="1" x14ac:dyDescent="0.25">
      <c r="A745" s="89"/>
      <c r="B745" s="89"/>
      <c r="C745" s="89"/>
      <c r="D745" s="89"/>
      <c r="E745" s="89"/>
      <c r="F745" s="89"/>
      <c r="G745" s="89"/>
      <c r="H745" s="89"/>
      <c r="I745" s="89"/>
      <c r="J745" s="89"/>
      <c r="K745" s="89"/>
      <c r="L745" s="89"/>
      <c r="M745" s="89"/>
      <c r="N745" s="90"/>
      <c r="O745" s="90"/>
      <c r="P745" s="90"/>
      <c r="Q745" s="89"/>
    </row>
    <row r="746" spans="1:17" ht="15.75" customHeight="1" x14ac:dyDescent="0.25">
      <c r="A746" s="89"/>
      <c r="B746" s="89"/>
      <c r="C746" s="89"/>
      <c r="D746" s="89"/>
      <c r="E746" s="89"/>
      <c r="F746" s="89"/>
      <c r="G746" s="89"/>
      <c r="H746" s="89"/>
      <c r="I746" s="89"/>
      <c r="J746" s="89"/>
      <c r="K746" s="89"/>
      <c r="L746" s="89"/>
      <c r="M746" s="89"/>
      <c r="N746" s="90"/>
      <c r="O746" s="90"/>
      <c r="P746" s="90"/>
      <c r="Q746" s="89"/>
    </row>
    <row r="747" spans="1:17" ht="15.75" customHeight="1" x14ac:dyDescent="0.25">
      <c r="A747" s="89"/>
      <c r="B747" s="89"/>
      <c r="C747" s="89"/>
      <c r="D747" s="89"/>
      <c r="E747" s="89"/>
      <c r="F747" s="89"/>
      <c r="G747" s="89"/>
      <c r="H747" s="89"/>
      <c r="I747" s="89"/>
      <c r="J747" s="89"/>
      <c r="K747" s="89"/>
      <c r="L747" s="89"/>
      <c r="M747" s="89"/>
      <c r="N747" s="90"/>
      <c r="O747" s="90"/>
      <c r="P747" s="90"/>
      <c r="Q747" s="89"/>
    </row>
    <row r="748" spans="1:17" ht="15.75" customHeight="1" x14ac:dyDescent="0.25">
      <c r="A748" s="89"/>
      <c r="B748" s="89"/>
      <c r="C748" s="89"/>
      <c r="D748" s="89"/>
      <c r="E748" s="89"/>
      <c r="F748" s="89"/>
      <c r="G748" s="89"/>
      <c r="H748" s="89"/>
      <c r="I748" s="89"/>
      <c r="J748" s="89"/>
      <c r="K748" s="89"/>
      <c r="L748" s="89"/>
      <c r="M748" s="89"/>
      <c r="N748" s="90"/>
      <c r="O748" s="90"/>
      <c r="P748" s="90"/>
      <c r="Q748" s="89"/>
    </row>
    <row r="749" spans="1:17" ht="15.75" customHeight="1" x14ac:dyDescent="0.25">
      <c r="A749" s="89"/>
      <c r="B749" s="89"/>
      <c r="C749" s="89"/>
      <c r="D749" s="89"/>
      <c r="E749" s="89"/>
      <c r="F749" s="89"/>
      <c r="G749" s="89"/>
      <c r="H749" s="89"/>
      <c r="I749" s="89"/>
      <c r="J749" s="89"/>
      <c r="K749" s="89"/>
      <c r="L749" s="89"/>
      <c r="M749" s="89"/>
      <c r="N749" s="90"/>
      <c r="O749" s="90"/>
      <c r="P749" s="90"/>
      <c r="Q749" s="89"/>
    </row>
    <row r="750" spans="1:17" ht="15.75" customHeight="1" x14ac:dyDescent="0.25">
      <c r="A750" s="89"/>
      <c r="B750" s="89"/>
      <c r="C750" s="89"/>
      <c r="D750" s="89"/>
      <c r="E750" s="89"/>
      <c r="F750" s="89"/>
      <c r="G750" s="89"/>
      <c r="H750" s="89"/>
      <c r="I750" s="89"/>
      <c r="J750" s="89"/>
      <c r="K750" s="89"/>
      <c r="L750" s="89"/>
      <c r="M750" s="89"/>
      <c r="N750" s="90"/>
      <c r="O750" s="90"/>
      <c r="P750" s="90"/>
      <c r="Q750" s="89"/>
    </row>
    <row r="751" spans="1:17" ht="15.75" customHeight="1" x14ac:dyDescent="0.25">
      <c r="A751" s="89"/>
      <c r="B751" s="89"/>
      <c r="C751" s="89"/>
      <c r="D751" s="89"/>
      <c r="E751" s="89"/>
      <c r="F751" s="89"/>
      <c r="G751" s="89"/>
      <c r="H751" s="89"/>
      <c r="I751" s="89"/>
      <c r="J751" s="89"/>
      <c r="K751" s="89"/>
      <c r="L751" s="89"/>
      <c r="M751" s="89"/>
      <c r="N751" s="90"/>
      <c r="O751" s="90"/>
      <c r="P751" s="90"/>
      <c r="Q751" s="89"/>
    </row>
    <row r="752" spans="1:17" ht="15.75" customHeight="1" x14ac:dyDescent="0.25">
      <c r="A752" s="89"/>
      <c r="B752" s="89"/>
      <c r="C752" s="89"/>
      <c r="D752" s="89"/>
      <c r="E752" s="89"/>
      <c r="F752" s="89"/>
      <c r="G752" s="89"/>
      <c r="H752" s="89"/>
      <c r="I752" s="89"/>
      <c r="J752" s="89"/>
      <c r="K752" s="89"/>
      <c r="L752" s="89"/>
      <c r="M752" s="89"/>
      <c r="N752" s="90"/>
      <c r="O752" s="90"/>
      <c r="P752" s="90"/>
      <c r="Q752" s="89"/>
    </row>
    <row r="753" spans="1:17" ht="15.75" customHeight="1" x14ac:dyDescent="0.25">
      <c r="A753" s="89"/>
      <c r="B753" s="89"/>
      <c r="C753" s="89"/>
      <c r="D753" s="89"/>
      <c r="E753" s="89"/>
      <c r="F753" s="89"/>
      <c r="G753" s="89"/>
      <c r="H753" s="89"/>
      <c r="I753" s="89"/>
      <c r="J753" s="89"/>
      <c r="K753" s="89"/>
      <c r="L753" s="89"/>
      <c r="M753" s="89"/>
      <c r="N753" s="90"/>
      <c r="O753" s="90"/>
      <c r="P753" s="90"/>
      <c r="Q753" s="89"/>
    </row>
    <row r="754" spans="1:17" ht="15.75" customHeight="1" x14ac:dyDescent="0.25">
      <c r="A754" s="89"/>
      <c r="B754" s="89"/>
      <c r="C754" s="89"/>
      <c r="D754" s="89"/>
      <c r="E754" s="89"/>
      <c r="F754" s="89"/>
      <c r="G754" s="89"/>
      <c r="H754" s="89"/>
      <c r="I754" s="89"/>
      <c r="J754" s="89"/>
      <c r="K754" s="89"/>
      <c r="L754" s="89"/>
      <c r="M754" s="89"/>
      <c r="N754" s="90"/>
      <c r="O754" s="90"/>
      <c r="P754" s="90"/>
      <c r="Q754" s="89"/>
    </row>
    <row r="755" spans="1:17" ht="15.75" customHeight="1" x14ac:dyDescent="0.25">
      <c r="A755" s="89"/>
      <c r="B755" s="89"/>
      <c r="C755" s="89"/>
      <c r="D755" s="89"/>
      <c r="E755" s="89"/>
      <c r="F755" s="89"/>
      <c r="G755" s="89"/>
      <c r="H755" s="89"/>
      <c r="I755" s="89"/>
      <c r="J755" s="89"/>
      <c r="K755" s="89"/>
      <c r="L755" s="89"/>
      <c r="M755" s="89"/>
      <c r="N755" s="90"/>
      <c r="O755" s="90"/>
      <c r="P755" s="90"/>
      <c r="Q755" s="89"/>
    </row>
    <row r="756" spans="1:17" ht="15.75" customHeight="1" x14ac:dyDescent="0.25">
      <c r="A756" s="89"/>
      <c r="B756" s="89"/>
      <c r="C756" s="89"/>
      <c r="D756" s="89"/>
      <c r="E756" s="89"/>
      <c r="F756" s="89"/>
      <c r="G756" s="89"/>
      <c r="H756" s="89"/>
      <c r="I756" s="89"/>
      <c r="J756" s="89"/>
      <c r="K756" s="89"/>
      <c r="L756" s="89"/>
      <c r="M756" s="89"/>
      <c r="N756" s="90"/>
      <c r="O756" s="90"/>
      <c r="P756" s="90"/>
      <c r="Q756" s="89"/>
    </row>
    <row r="757" spans="1:17" ht="15.75" customHeight="1" x14ac:dyDescent="0.25">
      <c r="A757" s="89"/>
      <c r="B757" s="89"/>
      <c r="C757" s="89"/>
      <c r="D757" s="89"/>
      <c r="E757" s="89"/>
      <c r="F757" s="89"/>
      <c r="G757" s="89"/>
      <c r="H757" s="89"/>
      <c r="I757" s="89"/>
      <c r="J757" s="89"/>
      <c r="K757" s="89"/>
      <c r="L757" s="89"/>
      <c r="M757" s="89"/>
      <c r="N757" s="90"/>
      <c r="O757" s="90"/>
      <c r="P757" s="90"/>
      <c r="Q757" s="89"/>
    </row>
    <row r="758" spans="1:17" ht="15.75" customHeight="1" x14ac:dyDescent="0.25">
      <c r="A758" s="89"/>
      <c r="B758" s="89"/>
      <c r="C758" s="89"/>
      <c r="D758" s="89"/>
      <c r="E758" s="89"/>
      <c r="F758" s="89"/>
      <c r="G758" s="89"/>
      <c r="H758" s="89"/>
      <c r="I758" s="89"/>
      <c r="J758" s="89"/>
      <c r="K758" s="89"/>
      <c r="L758" s="89"/>
      <c r="M758" s="89"/>
      <c r="N758" s="90"/>
      <c r="O758" s="90"/>
      <c r="P758" s="90"/>
      <c r="Q758" s="89"/>
    </row>
    <row r="759" spans="1:17" ht="15.75" customHeight="1" x14ac:dyDescent="0.25">
      <c r="A759" s="89"/>
      <c r="B759" s="89"/>
      <c r="C759" s="89"/>
      <c r="D759" s="89"/>
      <c r="E759" s="89"/>
      <c r="F759" s="89"/>
      <c r="G759" s="89"/>
      <c r="H759" s="89"/>
      <c r="I759" s="89"/>
      <c r="J759" s="89"/>
      <c r="K759" s="89"/>
      <c r="L759" s="89"/>
      <c r="M759" s="89"/>
      <c r="N759" s="90"/>
      <c r="O759" s="90"/>
      <c r="P759" s="90"/>
      <c r="Q759" s="89"/>
    </row>
    <row r="760" spans="1:17" ht="15.75" customHeight="1" x14ac:dyDescent="0.25">
      <c r="A760" s="89"/>
      <c r="B760" s="89"/>
      <c r="C760" s="89"/>
      <c r="D760" s="89"/>
      <c r="E760" s="89"/>
      <c r="F760" s="89"/>
      <c r="G760" s="89"/>
      <c r="H760" s="89"/>
      <c r="I760" s="89"/>
      <c r="J760" s="89"/>
      <c r="K760" s="89"/>
      <c r="L760" s="89"/>
      <c r="M760" s="89"/>
      <c r="N760" s="90"/>
      <c r="O760" s="90"/>
      <c r="P760" s="90"/>
      <c r="Q760" s="89"/>
    </row>
    <row r="761" spans="1:17" ht="15.75" customHeight="1" x14ac:dyDescent="0.25">
      <c r="A761" s="89"/>
      <c r="B761" s="89"/>
      <c r="C761" s="89"/>
      <c r="D761" s="89"/>
      <c r="E761" s="89"/>
      <c r="F761" s="89"/>
      <c r="G761" s="89"/>
      <c r="H761" s="89"/>
      <c r="I761" s="89"/>
      <c r="J761" s="89"/>
      <c r="K761" s="89"/>
      <c r="L761" s="89"/>
      <c r="M761" s="89"/>
      <c r="N761" s="90"/>
      <c r="O761" s="90"/>
      <c r="P761" s="90"/>
      <c r="Q761" s="89"/>
    </row>
    <row r="762" spans="1:17" ht="15.75" customHeight="1" x14ac:dyDescent="0.25">
      <c r="A762" s="89"/>
      <c r="B762" s="89"/>
      <c r="C762" s="89"/>
      <c r="D762" s="89"/>
      <c r="E762" s="89"/>
      <c r="F762" s="89"/>
      <c r="G762" s="89"/>
      <c r="H762" s="89"/>
      <c r="I762" s="89"/>
      <c r="J762" s="89"/>
      <c r="K762" s="89"/>
      <c r="L762" s="89"/>
      <c r="M762" s="89"/>
      <c r="N762" s="90"/>
      <c r="O762" s="90"/>
      <c r="P762" s="90"/>
      <c r="Q762" s="89"/>
    </row>
    <row r="763" spans="1:17" ht="15.75" customHeight="1" x14ac:dyDescent="0.25">
      <c r="A763" s="89"/>
      <c r="B763" s="89"/>
      <c r="C763" s="89"/>
      <c r="D763" s="89"/>
      <c r="E763" s="89"/>
      <c r="F763" s="89"/>
      <c r="G763" s="89"/>
      <c r="H763" s="89"/>
      <c r="I763" s="89"/>
      <c r="J763" s="89"/>
      <c r="K763" s="89"/>
      <c r="L763" s="89"/>
      <c r="M763" s="89"/>
      <c r="N763" s="90"/>
      <c r="O763" s="90"/>
      <c r="P763" s="90"/>
      <c r="Q763" s="89"/>
    </row>
    <row r="764" spans="1:17" ht="15.75" customHeight="1" x14ac:dyDescent="0.25">
      <c r="A764" s="89"/>
      <c r="B764" s="89"/>
      <c r="C764" s="89"/>
      <c r="D764" s="89"/>
      <c r="E764" s="89"/>
      <c r="F764" s="89"/>
      <c r="G764" s="89"/>
      <c r="H764" s="89"/>
      <c r="I764" s="89"/>
      <c r="J764" s="89"/>
      <c r="K764" s="89"/>
      <c r="L764" s="89"/>
      <c r="M764" s="89"/>
      <c r="N764" s="90"/>
      <c r="O764" s="90"/>
      <c r="P764" s="90"/>
      <c r="Q764" s="89"/>
    </row>
    <row r="765" spans="1:17" ht="15.75" customHeight="1" x14ac:dyDescent="0.25">
      <c r="A765" s="89"/>
      <c r="B765" s="89"/>
      <c r="C765" s="89"/>
      <c r="D765" s="89"/>
      <c r="E765" s="89"/>
      <c r="F765" s="89"/>
      <c r="G765" s="89"/>
      <c r="H765" s="89"/>
      <c r="I765" s="89"/>
      <c r="J765" s="89"/>
      <c r="K765" s="89"/>
      <c r="L765" s="89"/>
      <c r="M765" s="89"/>
      <c r="N765" s="90"/>
      <c r="O765" s="90"/>
      <c r="P765" s="90"/>
      <c r="Q765" s="89"/>
    </row>
    <row r="766" spans="1:17" ht="15.75" customHeight="1" x14ac:dyDescent="0.25">
      <c r="A766" s="89"/>
      <c r="B766" s="89"/>
      <c r="C766" s="89"/>
      <c r="D766" s="89"/>
      <c r="E766" s="89"/>
      <c r="F766" s="89"/>
      <c r="G766" s="89"/>
      <c r="H766" s="89"/>
      <c r="I766" s="89"/>
      <c r="J766" s="89"/>
      <c r="K766" s="89"/>
      <c r="L766" s="89"/>
      <c r="M766" s="89"/>
      <c r="N766" s="90"/>
      <c r="O766" s="90"/>
      <c r="P766" s="90"/>
      <c r="Q766" s="89"/>
    </row>
    <row r="767" spans="1:17" ht="15.75" customHeight="1" x14ac:dyDescent="0.25">
      <c r="A767" s="89"/>
      <c r="B767" s="89"/>
      <c r="C767" s="89"/>
      <c r="D767" s="89"/>
      <c r="E767" s="89"/>
      <c r="F767" s="89"/>
      <c r="G767" s="89"/>
      <c r="H767" s="89"/>
      <c r="I767" s="89"/>
      <c r="J767" s="89"/>
      <c r="K767" s="89"/>
      <c r="L767" s="89"/>
      <c r="M767" s="89"/>
      <c r="N767" s="90"/>
      <c r="O767" s="90"/>
      <c r="P767" s="90"/>
      <c r="Q767" s="89"/>
    </row>
    <row r="768" spans="1:17" ht="15.75" customHeight="1" x14ac:dyDescent="0.25">
      <c r="A768" s="89"/>
      <c r="B768" s="89"/>
      <c r="C768" s="89"/>
      <c r="D768" s="89"/>
      <c r="E768" s="89"/>
      <c r="F768" s="89"/>
      <c r="G768" s="89"/>
      <c r="H768" s="89"/>
      <c r="I768" s="89"/>
      <c r="J768" s="89"/>
      <c r="K768" s="89"/>
      <c r="L768" s="89"/>
      <c r="M768" s="89"/>
      <c r="N768" s="90"/>
      <c r="O768" s="90"/>
      <c r="P768" s="90"/>
      <c r="Q768" s="89"/>
    </row>
    <row r="769" spans="1:17" ht="15.75" customHeight="1" x14ac:dyDescent="0.25">
      <c r="A769" s="89"/>
      <c r="B769" s="89"/>
      <c r="C769" s="89"/>
      <c r="D769" s="89"/>
      <c r="E769" s="89"/>
      <c r="F769" s="89"/>
      <c r="G769" s="89"/>
      <c r="H769" s="89"/>
      <c r="I769" s="89"/>
      <c r="J769" s="89"/>
      <c r="K769" s="89"/>
      <c r="L769" s="89"/>
      <c r="M769" s="89"/>
      <c r="N769" s="90"/>
      <c r="O769" s="90"/>
      <c r="P769" s="90"/>
      <c r="Q769" s="89"/>
    </row>
    <row r="770" spans="1:17" ht="15.75" customHeight="1" x14ac:dyDescent="0.25">
      <c r="A770" s="89"/>
      <c r="B770" s="89"/>
      <c r="C770" s="89"/>
      <c r="D770" s="89"/>
      <c r="E770" s="89"/>
      <c r="F770" s="89"/>
      <c r="G770" s="89"/>
      <c r="H770" s="89"/>
      <c r="I770" s="89"/>
      <c r="J770" s="89"/>
      <c r="K770" s="89"/>
      <c r="L770" s="89"/>
      <c r="M770" s="89"/>
      <c r="N770" s="90"/>
      <c r="O770" s="90"/>
      <c r="P770" s="90"/>
      <c r="Q770" s="89"/>
    </row>
    <row r="771" spans="1:17" ht="15.75" customHeight="1" x14ac:dyDescent="0.25">
      <c r="A771" s="89"/>
      <c r="B771" s="89"/>
      <c r="C771" s="89"/>
      <c r="D771" s="89"/>
      <c r="E771" s="89"/>
      <c r="F771" s="89"/>
      <c r="G771" s="89"/>
      <c r="H771" s="89"/>
      <c r="I771" s="89"/>
      <c r="J771" s="89"/>
      <c r="K771" s="89"/>
      <c r="L771" s="89"/>
      <c r="M771" s="89"/>
      <c r="N771" s="90"/>
      <c r="O771" s="90"/>
      <c r="P771" s="90"/>
      <c r="Q771" s="89"/>
    </row>
    <row r="772" spans="1:17" ht="15.75" customHeight="1" x14ac:dyDescent="0.25">
      <c r="A772" s="89"/>
      <c r="B772" s="89"/>
      <c r="C772" s="89"/>
      <c r="D772" s="89"/>
      <c r="E772" s="89"/>
      <c r="F772" s="89"/>
      <c r="G772" s="89"/>
      <c r="H772" s="89"/>
      <c r="I772" s="89"/>
      <c r="J772" s="89"/>
      <c r="K772" s="89"/>
      <c r="L772" s="89"/>
      <c r="M772" s="89"/>
      <c r="N772" s="90"/>
      <c r="O772" s="90"/>
      <c r="P772" s="90"/>
      <c r="Q772" s="89"/>
    </row>
    <row r="773" spans="1:17" ht="15.75" customHeight="1" x14ac:dyDescent="0.25">
      <c r="A773" s="89"/>
      <c r="B773" s="89"/>
      <c r="C773" s="89"/>
      <c r="D773" s="89"/>
      <c r="E773" s="89"/>
      <c r="F773" s="89"/>
      <c r="G773" s="89"/>
      <c r="H773" s="89"/>
      <c r="I773" s="89"/>
      <c r="J773" s="89"/>
      <c r="K773" s="89"/>
      <c r="L773" s="89"/>
      <c r="M773" s="89"/>
      <c r="N773" s="90"/>
      <c r="O773" s="90"/>
      <c r="P773" s="90"/>
      <c r="Q773" s="89"/>
    </row>
    <row r="774" spans="1:17" ht="15.75" customHeight="1" x14ac:dyDescent="0.25">
      <c r="A774" s="89"/>
      <c r="B774" s="89"/>
      <c r="C774" s="89"/>
      <c r="D774" s="89"/>
      <c r="E774" s="89"/>
      <c r="F774" s="89"/>
      <c r="G774" s="89"/>
      <c r="H774" s="89"/>
      <c r="I774" s="89"/>
      <c r="J774" s="89"/>
      <c r="K774" s="89"/>
      <c r="L774" s="89"/>
      <c r="M774" s="89"/>
      <c r="N774" s="90"/>
      <c r="O774" s="90"/>
      <c r="P774" s="90"/>
      <c r="Q774" s="89"/>
    </row>
    <row r="775" spans="1:17" ht="15.75" customHeight="1" x14ac:dyDescent="0.25">
      <c r="A775" s="89"/>
      <c r="B775" s="89"/>
      <c r="C775" s="89"/>
      <c r="D775" s="89"/>
      <c r="E775" s="89"/>
      <c r="F775" s="89"/>
      <c r="G775" s="89"/>
      <c r="H775" s="89"/>
      <c r="I775" s="89"/>
      <c r="J775" s="89"/>
      <c r="K775" s="89"/>
      <c r="L775" s="89"/>
      <c r="M775" s="89"/>
      <c r="N775" s="90"/>
      <c r="O775" s="90"/>
      <c r="P775" s="90"/>
      <c r="Q775" s="89"/>
    </row>
    <row r="776" spans="1:17" ht="15.75" customHeight="1" x14ac:dyDescent="0.25">
      <c r="A776" s="89"/>
      <c r="B776" s="89"/>
      <c r="C776" s="89"/>
      <c r="D776" s="89"/>
      <c r="E776" s="89"/>
      <c r="F776" s="89"/>
      <c r="G776" s="89"/>
      <c r="H776" s="89"/>
      <c r="I776" s="89"/>
      <c r="J776" s="89"/>
      <c r="K776" s="89"/>
      <c r="L776" s="89"/>
      <c r="M776" s="89"/>
      <c r="N776" s="90"/>
      <c r="O776" s="90"/>
      <c r="P776" s="90"/>
      <c r="Q776" s="89"/>
    </row>
    <row r="777" spans="1:17" ht="15.75" customHeight="1" x14ac:dyDescent="0.25">
      <c r="A777" s="89"/>
      <c r="B777" s="89"/>
      <c r="C777" s="89"/>
      <c r="D777" s="89"/>
      <c r="E777" s="89"/>
      <c r="F777" s="89"/>
      <c r="G777" s="89"/>
      <c r="H777" s="89"/>
      <c r="I777" s="89"/>
      <c r="J777" s="89"/>
      <c r="K777" s="89"/>
      <c r="L777" s="89"/>
      <c r="M777" s="89"/>
      <c r="N777" s="90"/>
      <c r="O777" s="90"/>
      <c r="P777" s="90"/>
      <c r="Q777" s="89"/>
    </row>
    <row r="778" spans="1:17" ht="15.75" customHeight="1" x14ac:dyDescent="0.25">
      <c r="A778" s="89"/>
      <c r="B778" s="89"/>
      <c r="C778" s="89"/>
      <c r="D778" s="89"/>
      <c r="E778" s="89"/>
      <c r="F778" s="89"/>
      <c r="G778" s="89"/>
      <c r="H778" s="89"/>
      <c r="I778" s="89"/>
      <c r="J778" s="89"/>
      <c r="K778" s="89"/>
      <c r="L778" s="89"/>
      <c r="M778" s="89"/>
      <c r="N778" s="90"/>
      <c r="O778" s="90"/>
      <c r="P778" s="90"/>
      <c r="Q778" s="89"/>
    </row>
    <row r="779" spans="1:17" ht="15.75" customHeight="1" x14ac:dyDescent="0.25">
      <c r="A779" s="89"/>
      <c r="B779" s="89"/>
      <c r="C779" s="89"/>
      <c r="D779" s="89"/>
      <c r="E779" s="89"/>
      <c r="F779" s="89"/>
      <c r="G779" s="89"/>
      <c r="H779" s="89"/>
      <c r="I779" s="89"/>
      <c r="J779" s="89"/>
      <c r="K779" s="89"/>
      <c r="L779" s="89"/>
      <c r="M779" s="89"/>
      <c r="N779" s="90"/>
      <c r="O779" s="90"/>
      <c r="P779" s="90"/>
      <c r="Q779" s="89"/>
    </row>
    <row r="780" spans="1:17" ht="15.75" customHeight="1" x14ac:dyDescent="0.25">
      <c r="A780" s="89"/>
      <c r="B780" s="89"/>
      <c r="C780" s="89"/>
      <c r="D780" s="89"/>
      <c r="E780" s="89"/>
      <c r="F780" s="89"/>
      <c r="G780" s="89"/>
      <c r="H780" s="89"/>
      <c r="I780" s="89"/>
      <c r="J780" s="89"/>
      <c r="K780" s="89"/>
      <c r="L780" s="89"/>
      <c r="M780" s="89"/>
      <c r="N780" s="90"/>
      <c r="O780" s="90"/>
      <c r="P780" s="90"/>
      <c r="Q780" s="89"/>
    </row>
    <row r="781" spans="1:17" ht="15.75" customHeight="1" x14ac:dyDescent="0.25">
      <c r="A781" s="89"/>
      <c r="B781" s="89"/>
      <c r="C781" s="89"/>
      <c r="D781" s="89"/>
      <c r="E781" s="89"/>
      <c r="F781" s="89"/>
      <c r="G781" s="89"/>
      <c r="H781" s="89"/>
      <c r="I781" s="89"/>
      <c r="J781" s="89"/>
      <c r="K781" s="89"/>
      <c r="L781" s="89"/>
      <c r="M781" s="89"/>
      <c r="N781" s="90"/>
      <c r="O781" s="90"/>
      <c r="P781" s="90"/>
      <c r="Q781" s="89"/>
    </row>
    <row r="782" spans="1:17" ht="15.75" customHeight="1" x14ac:dyDescent="0.25">
      <c r="A782" s="89"/>
      <c r="B782" s="89"/>
      <c r="C782" s="89"/>
      <c r="D782" s="89"/>
      <c r="E782" s="89"/>
      <c r="F782" s="89"/>
      <c r="G782" s="89"/>
      <c r="H782" s="89"/>
      <c r="I782" s="89"/>
      <c r="J782" s="89"/>
      <c r="K782" s="89"/>
      <c r="L782" s="89"/>
      <c r="M782" s="89"/>
      <c r="N782" s="90"/>
      <c r="O782" s="90"/>
      <c r="P782" s="90"/>
      <c r="Q782" s="89"/>
    </row>
    <row r="783" spans="1:17" ht="15.75" customHeight="1" x14ac:dyDescent="0.25">
      <c r="A783" s="89"/>
      <c r="B783" s="89"/>
      <c r="C783" s="89"/>
      <c r="D783" s="89"/>
      <c r="E783" s="89"/>
      <c r="F783" s="89"/>
      <c r="G783" s="89"/>
      <c r="H783" s="89"/>
      <c r="I783" s="89"/>
      <c r="J783" s="89"/>
      <c r="K783" s="89"/>
      <c r="L783" s="89"/>
      <c r="M783" s="89"/>
      <c r="N783" s="90"/>
      <c r="O783" s="90"/>
      <c r="P783" s="90"/>
      <c r="Q783" s="89"/>
    </row>
    <row r="784" spans="1:17" ht="15.75" customHeight="1" x14ac:dyDescent="0.25">
      <c r="A784" s="89"/>
      <c r="B784" s="89"/>
      <c r="C784" s="89"/>
      <c r="D784" s="89"/>
      <c r="E784" s="89"/>
      <c r="F784" s="89"/>
      <c r="G784" s="89"/>
      <c r="H784" s="89"/>
      <c r="I784" s="89"/>
      <c r="J784" s="89"/>
      <c r="K784" s="89"/>
      <c r="L784" s="89"/>
      <c r="M784" s="89"/>
      <c r="N784" s="90"/>
      <c r="O784" s="90"/>
      <c r="P784" s="90"/>
      <c r="Q784" s="89"/>
    </row>
    <row r="785" spans="1:17" ht="15.75" customHeight="1" x14ac:dyDescent="0.25">
      <c r="A785" s="89"/>
      <c r="B785" s="89"/>
      <c r="C785" s="89"/>
      <c r="D785" s="89"/>
      <c r="E785" s="89"/>
      <c r="F785" s="89"/>
      <c r="G785" s="89"/>
      <c r="H785" s="89"/>
      <c r="I785" s="89"/>
      <c r="J785" s="89"/>
      <c r="K785" s="89"/>
      <c r="L785" s="89"/>
      <c r="M785" s="89"/>
      <c r="N785" s="90"/>
      <c r="O785" s="90"/>
      <c r="P785" s="90"/>
      <c r="Q785" s="89"/>
    </row>
    <row r="786" spans="1:17" ht="15.75" customHeight="1" x14ac:dyDescent="0.25">
      <c r="A786" s="89"/>
      <c r="B786" s="89"/>
      <c r="C786" s="89"/>
      <c r="D786" s="89"/>
      <c r="E786" s="89"/>
      <c r="F786" s="89"/>
      <c r="G786" s="89"/>
      <c r="H786" s="89"/>
      <c r="I786" s="89"/>
      <c r="J786" s="89"/>
      <c r="K786" s="89"/>
      <c r="L786" s="89"/>
      <c r="M786" s="89"/>
      <c r="N786" s="90"/>
      <c r="O786" s="90"/>
      <c r="P786" s="90"/>
      <c r="Q786" s="89"/>
    </row>
    <row r="787" spans="1:17" ht="15.75" customHeight="1" x14ac:dyDescent="0.25">
      <c r="A787" s="89"/>
      <c r="B787" s="89"/>
      <c r="C787" s="89"/>
      <c r="D787" s="89"/>
      <c r="E787" s="89"/>
      <c r="F787" s="89"/>
      <c r="G787" s="89"/>
      <c r="H787" s="89"/>
      <c r="I787" s="89"/>
      <c r="J787" s="89"/>
      <c r="K787" s="89"/>
      <c r="L787" s="89"/>
      <c r="M787" s="89"/>
      <c r="N787" s="90"/>
      <c r="O787" s="90"/>
      <c r="P787" s="90"/>
      <c r="Q787" s="89"/>
    </row>
    <row r="788" spans="1:17" ht="15.75" customHeight="1" x14ac:dyDescent="0.25">
      <c r="A788" s="89"/>
      <c r="B788" s="89"/>
      <c r="C788" s="89"/>
      <c r="D788" s="89"/>
      <c r="E788" s="89"/>
      <c r="F788" s="89"/>
      <c r="G788" s="89"/>
      <c r="H788" s="89"/>
      <c r="I788" s="89"/>
      <c r="J788" s="89"/>
      <c r="K788" s="89"/>
      <c r="L788" s="89"/>
      <c r="M788" s="89"/>
      <c r="N788" s="90"/>
      <c r="O788" s="90"/>
      <c r="P788" s="90"/>
      <c r="Q788" s="89"/>
    </row>
    <row r="789" spans="1:17" ht="15.75" customHeight="1" x14ac:dyDescent="0.25">
      <c r="A789" s="89"/>
      <c r="B789" s="89"/>
      <c r="C789" s="89"/>
      <c r="D789" s="89"/>
      <c r="E789" s="89"/>
      <c r="F789" s="89"/>
      <c r="G789" s="89"/>
      <c r="H789" s="89"/>
      <c r="I789" s="89"/>
      <c r="J789" s="89"/>
      <c r="K789" s="89"/>
      <c r="L789" s="89"/>
      <c r="M789" s="89"/>
      <c r="N789" s="90"/>
      <c r="O789" s="90"/>
      <c r="P789" s="90"/>
      <c r="Q789" s="89"/>
    </row>
    <row r="790" spans="1:17" ht="15.75" customHeight="1" x14ac:dyDescent="0.25">
      <c r="A790" s="89"/>
      <c r="B790" s="89"/>
      <c r="C790" s="89"/>
      <c r="D790" s="89"/>
      <c r="E790" s="89"/>
      <c r="F790" s="89"/>
      <c r="G790" s="89"/>
      <c r="H790" s="89"/>
      <c r="I790" s="89"/>
      <c r="J790" s="89"/>
      <c r="K790" s="89"/>
      <c r="L790" s="89"/>
      <c r="M790" s="89"/>
      <c r="N790" s="90"/>
      <c r="O790" s="90"/>
      <c r="P790" s="90"/>
      <c r="Q790" s="89"/>
    </row>
    <row r="791" spans="1:17" ht="15.75" customHeight="1" x14ac:dyDescent="0.25">
      <c r="A791" s="89"/>
      <c r="B791" s="89"/>
      <c r="C791" s="89"/>
      <c r="D791" s="89"/>
      <c r="E791" s="89"/>
      <c r="F791" s="89"/>
      <c r="G791" s="89"/>
      <c r="H791" s="89"/>
      <c r="I791" s="89"/>
      <c r="J791" s="89"/>
      <c r="K791" s="89"/>
      <c r="L791" s="89"/>
      <c r="M791" s="89"/>
      <c r="N791" s="90"/>
      <c r="O791" s="90"/>
      <c r="P791" s="90"/>
      <c r="Q791" s="89"/>
    </row>
    <row r="792" spans="1:17" ht="15.75" customHeight="1" x14ac:dyDescent="0.25">
      <c r="A792" s="89"/>
      <c r="B792" s="89"/>
      <c r="C792" s="89"/>
      <c r="D792" s="89"/>
      <c r="E792" s="89"/>
      <c r="F792" s="89"/>
      <c r="G792" s="89"/>
      <c r="H792" s="89"/>
      <c r="I792" s="89"/>
      <c r="J792" s="89"/>
      <c r="K792" s="89"/>
      <c r="L792" s="89"/>
      <c r="M792" s="89"/>
      <c r="N792" s="90"/>
      <c r="O792" s="90"/>
      <c r="P792" s="90"/>
      <c r="Q792" s="89"/>
    </row>
    <row r="793" spans="1:17" ht="15.75" customHeight="1" x14ac:dyDescent="0.25">
      <c r="A793" s="89"/>
      <c r="B793" s="89"/>
      <c r="C793" s="89"/>
      <c r="D793" s="89"/>
      <c r="E793" s="89"/>
      <c r="F793" s="89"/>
      <c r="G793" s="89"/>
      <c r="H793" s="89"/>
      <c r="I793" s="89"/>
      <c r="J793" s="89"/>
      <c r="K793" s="89"/>
      <c r="L793" s="89"/>
      <c r="M793" s="89"/>
      <c r="N793" s="90"/>
      <c r="O793" s="90"/>
      <c r="P793" s="90"/>
      <c r="Q793" s="89"/>
    </row>
    <row r="794" spans="1:17" ht="15.75" customHeight="1" x14ac:dyDescent="0.25">
      <c r="A794" s="89"/>
      <c r="B794" s="89"/>
      <c r="C794" s="89"/>
      <c r="D794" s="89"/>
      <c r="E794" s="89"/>
      <c r="F794" s="89"/>
      <c r="G794" s="89"/>
      <c r="H794" s="89"/>
      <c r="I794" s="89"/>
      <c r="J794" s="89"/>
      <c r="K794" s="89"/>
      <c r="L794" s="89"/>
      <c r="M794" s="89"/>
      <c r="N794" s="90"/>
      <c r="O794" s="90"/>
      <c r="P794" s="90"/>
      <c r="Q794" s="89"/>
    </row>
    <row r="795" spans="1:17" ht="15.75" customHeight="1" x14ac:dyDescent="0.25">
      <c r="A795" s="89"/>
      <c r="B795" s="89"/>
      <c r="C795" s="89"/>
      <c r="D795" s="89"/>
      <c r="E795" s="89"/>
      <c r="F795" s="89"/>
      <c r="G795" s="89"/>
      <c r="H795" s="89"/>
      <c r="I795" s="89"/>
      <c r="J795" s="89"/>
      <c r="K795" s="89"/>
      <c r="L795" s="89"/>
      <c r="M795" s="89"/>
      <c r="N795" s="90"/>
      <c r="O795" s="90"/>
      <c r="P795" s="90"/>
      <c r="Q795" s="89"/>
    </row>
    <row r="796" spans="1:17" ht="15.75" customHeight="1" x14ac:dyDescent="0.25">
      <c r="A796" s="89"/>
      <c r="B796" s="89"/>
      <c r="C796" s="89"/>
      <c r="D796" s="89"/>
      <c r="E796" s="89"/>
      <c r="F796" s="89"/>
      <c r="G796" s="89"/>
      <c r="H796" s="89"/>
      <c r="I796" s="89"/>
      <c r="J796" s="89"/>
      <c r="K796" s="89"/>
      <c r="L796" s="89"/>
      <c r="M796" s="89"/>
      <c r="N796" s="90"/>
      <c r="O796" s="90"/>
      <c r="P796" s="90"/>
      <c r="Q796" s="89"/>
    </row>
    <row r="797" spans="1:17" ht="15.75" customHeight="1" x14ac:dyDescent="0.25">
      <c r="A797" s="89"/>
      <c r="B797" s="89"/>
      <c r="C797" s="89"/>
      <c r="D797" s="89"/>
      <c r="E797" s="89"/>
      <c r="F797" s="89"/>
      <c r="G797" s="89"/>
      <c r="H797" s="89"/>
      <c r="I797" s="89"/>
      <c r="J797" s="89"/>
      <c r="K797" s="89"/>
      <c r="L797" s="89"/>
      <c r="M797" s="89"/>
      <c r="N797" s="90"/>
      <c r="O797" s="90"/>
      <c r="P797" s="90"/>
      <c r="Q797" s="89"/>
    </row>
    <row r="798" spans="1:17" ht="15.75" customHeight="1" x14ac:dyDescent="0.25">
      <c r="A798" s="89"/>
      <c r="B798" s="89"/>
      <c r="C798" s="89"/>
      <c r="D798" s="89"/>
      <c r="E798" s="89"/>
      <c r="F798" s="89"/>
      <c r="G798" s="89"/>
      <c r="H798" s="89"/>
      <c r="I798" s="89"/>
      <c r="J798" s="89"/>
      <c r="K798" s="89"/>
      <c r="L798" s="89"/>
      <c r="M798" s="89"/>
      <c r="N798" s="90"/>
      <c r="O798" s="90"/>
      <c r="P798" s="90"/>
      <c r="Q798" s="89"/>
    </row>
    <row r="799" spans="1:17" ht="15.75" customHeight="1" x14ac:dyDescent="0.25">
      <c r="A799" s="89"/>
      <c r="B799" s="89"/>
      <c r="C799" s="89"/>
      <c r="D799" s="89"/>
      <c r="E799" s="89"/>
      <c r="F799" s="89"/>
      <c r="G799" s="89"/>
      <c r="H799" s="89"/>
      <c r="I799" s="89"/>
      <c r="J799" s="89"/>
      <c r="K799" s="89"/>
      <c r="L799" s="89"/>
      <c r="M799" s="89"/>
      <c r="N799" s="90"/>
      <c r="O799" s="90"/>
      <c r="P799" s="90"/>
      <c r="Q799" s="89"/>
    </row>
    <row r="800" spans="1:17" ht="15.75" customHeight="1" x14ac:dyDescent="0.25">
      <c r="A800" s="89"/>
      <c r="B800" s="89"/>
      <c r="C800" s="89"/>
      <c r="D800" s="89"/>
      <c r="E800" s="89"/>
      <c r="F800" s="89"/>
      <c r="G800" s="89"/>
      <c r="H800" s="89"/>
      <c r="I800" s="89"/>
      <c r="J800" s="89"/>
      <c r="K800" s="89"/>
      <c r="L800" s="89"/>
      <c r="M800" s="89"/>
      <c r="N800" s="90"/>
      <c r="O800" s="90"/>
      <c r="P800" s="90"/>
      <c r="Q800" s="89"/>
    </row>
    <row r="801" spans="1:17" ht="15.75" customHeight="1" x14ac:dyDescent="0.25">
      <c r="A801" s="89"/>
      <c r="B801" s="89"/>
      <c r="C801" s="89"/>
      <c r="D801" s="89"/>
      <c r="E801" s="89"/>
      <c r="F801" s="89"/>
      <c r="G801" s="89"/>
      <c r="H801" s="89"/>
      <c r="I801" s="89"/>
      <c r="J801" s="89"/>
      <c r="K801" s="89"/>
      <c r="L801" s="89"/>
      <c r="M801" s="89"/>
      <c r="N801" s="90"/>
      <c r="O801" s="90"/>
      <c r="P801" s="90"/>
      <c r="Q801" s="89"/>
    </row>
    <row r="802" spans="1:17" ht="15.75" customHeight="1" x14ac:dyDescent="0.25">
      <c r="A802" s="89"/>
      <c r="B802" s="89"/>
      <c r="C802" s="89"/>
      <c r="D802" s="89"/>
      <c r="E802" s="89"/>
      <c r="F802" s="89"/>
      <c r="G802" s="89"/>
      <c r="H802" s="89"/>
      <c r="I802" s="89"/>
      <c r="J802" s="89"/>
      <c r="K802" s="89"/>
      <c r="L802" s="89"/>
      <c r="M802" s="89"/>
      <c r="N802" s="90"/>
      <c r="O802" s="90"/>
      <c r="P802" s="90"/>
      <c r="Q802" s="89"/>
    </row>
    <row r="803" spans="1:17" ht="15.75" customHeight="1" x14ac:dyDescent="0.25">
      <c r="A803" s="89"/>
      <c r="B803" s="89"/>
      <c r="C803" s="89"/>
      <c r="D803" s="89"/>
      <c r="E803" s="89"/>
      <c r="F803" s="89"/>
      <c r="G803" s="89"/>
      <c r="H803" s="89"/>
      <c r="I803" s="89"/>
      <c r="J803" s="89"/>
      <c r="K803" s="89"/>
      <c r="L803" s="89"/>
      <c r="M803" s="89"/>
      <c r="N803" s="90"/>
      <c r="O803" s="90"/>
      <c r="P803" s="90"/>
      <c r="Q803" s="89"/>
    </row>
    <row r="804" spans="1:17" ht="15.75" customHeight="1" x14ac:dyDescent="0.25">
      <c r="A804" s="89"/>
      <c r="B804" s="89"/>
      <c r="C804" s="89"/>
      <c r="D804" s="89"/>
      <c r="E804" s="89"/>
      <c r="F804" s="89"/>
      <c r="G804" s="89"/>
      <c r="H804" s="89"/>
      <c r="I804" s="89"/>
      <c r="J804" s="89"/>
      <c r="K804" s="89"/>
      <c r="L804" s="89"/>
      <c r="M804" s="89"/>
      <c r="N804" s="90"/>
      <c r="O804" s="90"/>
      <c r="P804" s="90"/>
      <c r="Q804" s="89"/>
    </row>
    <row r="805" spans="1:17" ht="15.75" customHeight="1" x14ac:dyDescent="0.25">
      <c r="A805" s="89"/>
      <c r="B805" s="89"/>
      <c r="C805" s="89"/>
      <c r="D805" s="89"/>
      <c r="E805" s="89"/>
      <c r="F805" s="89"/>
      <c r="G805" s="89"/>
      <c r="H805" s="89"/>
      <c r="I805" s="89"/>
      <c r="J805" s="89"/>
      <c r="K805" s="89"/>
      <c r="L805" s="89"/>
      <c r="M805" s="89"/>
      <c r="N805" s="90"/>
      <c r="O805" s="90"/>
      <c r="P805" s="90"/>
      <c r="Q805" s="89"/>
    </row>
    <row r="806" spans="1:17" ht="15.75" customHeight="1" x14ac:dyDescent="0.25">
      <c r="A806" s="89"/>
      <c r="B806" s="89"/>
      <c r="C806" s="89"/>
      <c r="D806" s="89"/>
      <c r="E806" s="89"/>
      <c r="F806" s="89"/>
      <c r="G806" s="89"/>
      <c r="H806" s="89"/>
      <c r="I806" s="89"/>
      <c r="J806" s="89"/>
      <c r="K806" s="89"/>
      <c r="L806" s="89"/>
      <c r="M806" s="89"/>
      <c r="N806" s="90"/>
      <c r="O806" s="90"/>
      <c r="P806" s="90"/>
      <c r="Q806" s="89"/>
    </row>
    <row r="807" spans="1:17" ht="15.75" customHeight="1" x14ac:dyDescent="0.25">
      <c r="A807" s="89"/>
      <c r="B807" s="89"/>
      <c r="C807" s="89"/>
      <c r="D807" s="89"/>
      <c r="E807" s="89"/>
      <c r="F807" s="89"/>
      <c r="G807" s="89"/>
      <c r="H807" s="89"/>
      <c r="I807" s="89"/>
      <c r="J807" s="89"/>
      <c r="K807" s="89"/>
      <c r="L807" s="89"/>
      <c r="M807" s="89"/>
      <c r="N807" s="90"/>
      <c r="O807" s="90"/>
      <c r="P807" s="90"/>
      <c r="Q807" s="89"/>
    </row>
    <row r="808" spans="1:17" ht="15.75" customHeight="1" x14ac:dyDescent="0.25">
      <c r="A808" s="89"/>
      <c r="B808" s="89"/>
      <c r="C808" s="89"/>
      <c r="D808" s="89"/>
      <c r="E808" s="89"/>
      <c r="F808" s="89"/>
      <c r="G808" s="89"/>
      <c r="H808" s="89"/>
      <c r="I808" s="89"/>
      <c r="J808" s="89"/>
      <c r="K808" s="89"/>
      <c r="L808" s="89"/>
      <c r="M808" s="89"/>
      <c r="N808" s="90"/>
      <c r="O808" s="90"/>
      <c r="P808" s="90"/>
      <c r="Q808" s="89"/>
    </row>
    <row r="809" spans="1:17" ht="15.75" customHeight="1" x14ac:dyDescent="0.25">
      <c r="A809" s="89"/>
      <c r="B809" s="89"/>
      <c r="C809" s="89"/>
      <c r="D809" s="89"/>
      <c r="E809" s="89"/>
      <c r="F809" s="89"/>
      <c r="G809" s="89"/>
      <c r="H809" s="89"/>
      <c r="I809" s="89"/>
      <c r="J809" s="89"/>
      <c r="K809" s="89"/>
      <c r="L809" s="89"/>
      <c r="M809" s="89"/>
      <c r="N809" s="90"/>
      <c r="O809" s="90"/>
      <c r="P809" s="90"/>
      <c r="Q809" s="89"/>
    </row>
    <row r="810" spans="1:17" ht="15.75" customHeight="1" x14ac:dyDescent="0.25">
      <c r="A810" s="89"/>
      <c r="B810" s="89"/>
      <c r="C810" s="89"/>
      <c r="D810" s="89"/>
      <c r="E810" s="89"/>
      <c r="F810" s="89"/>
      <c r="G810" s="89"/>
      <c r="H810" s="89"/>
      <c r="I810" s="89"/>
      <c r="J810" s="89"/>
      <c r="K810" s="89"/>
      <c r="L810" s="89"/>
      <c r="M810" s="89"/>
      <c r="N810" s="90"/>
      <c r="O810" s="90"/>
      <c r="P810" s="90"/>
      <c r="Q810" s="89"/>
    </row>
    <row r="811" spans="1:17" ht="15.75" customHeight="1" x14ac:dyDescent="0.25">
      <c r="A811" s="89"/>
      <c r="B811" s="89"/>
      <c r="C811" s="89"/>
      <c r="D811" s="89"/>
      <c r="E811" s="89"/>
      <c r="F811" s="89"/>
      <c r="G811" s="89"/>
      <c r="H811" s="89"/>
      <c r="I811" s="89"/>
      <c r="J811" s="89"/>
      <c r="K811" s="89"/>
      <c r="L811" s="89"/>
      <c r="M811" s="89"/>
      <c r="N811" s="90"/>
      <c r="O811" s="90"/>
      <c r="P811" s="90"/>
      <c r="Q811" s="89"/>
    </row>
    <row r="812" spans="1:17" ht="15.75" customHeight="1" x14ac:dyDescent="0.25">
      <c r="A812" s="89"/>
      <c r="B812" s="89"/>
      <c r="C812" s="89"/>
      <c r="D812" s="89"/>
      <c r="E812" s="89"/>
      <c r="F812" s="89"/>
      <c r="G812" s="89"/>
      <c r="H812" s="89"/>
      <c r="I812" s="89"/>
      <c r="J812" s="89"/>
      <c r="K812" s="89"/>
      <c r="L812" s="89"/>
      <c r="M812" s="89"/>
      <c r="N812" s="90"/>
      <c r="O812" s="90"/>
      <c r="P812" s="90"/>
      <c r="Q812" s="89"/>
    </row>
    <row r="813" spans="1:17" ht="15.75" customHeight="1" x14ac:dyDescent="0.25">
      <c r="A813" s="89"/>
      <c r="B813" s="89"/>
      <c r="C813" s="89"/>
      <c r="D813" s="89"/>
      <c r="E813" s="89"/>
      <c r="F813" s="89"/>
      <c r="G813" s="89"/>
      <c r="H813" s="89"/>
      <c r="I813" s="89"/>
      <c r="J813" s="89"/>
      <c r="K813" s="89"/>
      <c r="L813" s="89"/>
      <c r="M813" s="89"/>
      <c r="N813" s="90"/>
      <c r="O813" s="90"/>
      <c r="P813" s="90"/>
      <c r="Q813" s="89"/>
    </row>
    <row r="814" spans="1:17" ht="15.75" customHeight="1" x14ac:dyDescent="0.25">
      <c r="A814" s="89"/>
      <c r="B814" s="89"/>
      <c r="C814" s="89"/>
      <c r="D814" s="89"/>
      <c r="E814" s="89"/>
      <c r="F814" s="89"/>
      <c r="G814" s="89"/>
      <c r="H814" s="89"/>
      <c r="I814" s="89"/>
      <c r="J814" s="89"/>
      <c r="K814" s="89"/>
      <c r="L814" s="89"/>
      <c r="M814" s="89"/>
      <c r="N814" s="90"/>
      <c r="O814" s="90"/>
      <c r="P814" s="90"/>
      <c r="Q814" s="89"/>
    </row>
    <row r="815" spans="1:17" ht="15.75" customHeight="1" x14ac:dyDescent="0.25">
      <c r="A815" s="89"/>
      <c r="B815" s="89"/>
      <c r="C815" s="89"/>
      <c r="D815" s="89"/>
      <c r="E815" s="89"/>
      <c r="F815" s="89"/>
      <c r="G815" s="89"/>
      <c r="H815" s="89"/>
      <c r="I815" s="89"/>
      <c r="J815" s="89"/>
      <c r="K815" s="89"/>
      <c r="L815" s="89"/>
      <c r="M815" s="89"/>
      <c r="N815" s="90"/>
      <c r="O815" s="90"/>
      <c r="P815" s="90"/>
      <c r="Q815" s="89"/>
    </row>
    <row r="816" spans="1:17" ht="15.75" customHeight="1" x14ac:dyDescent="0.25">
      <c r="A816" s="89"/>
      <c r="B816" s="89"/>
      <c r="C816" s="89"/>
      <c r="D816" s="89"/>
      <c r="E816" s="89"/>
      <c r="F816" s="89"/>
      <c r="G816" s="89"/>
      <c r="H816" s="89"/>
      <c r="I816" s="89"/>
      <c r="J816" s="89"/>
      <c r="K816" s="89"/>
      <c r="L816" s="89"/>
      <c r="M816" s="89"/>
      <c r="N816" s="90"/>
      <c r="O816" s="90"/>
      <c r="P816" s="90"/>
      <c r="Q816" s="89"/>
    </row>
    <row r="817" spans="1:17" ht="15.75" customHeight="1" x14ac:dyDescent="0.25">
      <c r="A817" s="89"/>
      <c r="B817" s="89"/>
      <c r="C817" s="89"/>
      <c r="D817" s="89"/>
      <c r="E817" s="89"/>
      <c r="F817" s="89"/>
      <c r="G817" s="89"/>
      <c r="H817" s="89"/>
      <c r="I817" s="89"/>
      <c r="J817" s="89"/>
      <c r="K817" s="89"/>
      <c r="L817" s="89"/>
      <c r="M817" s="89"/>
      <c r="N817" s="90"/>
      <c r="O817" s="90"/>
      <c r="P817" s="90"/>
      <c r="Q817" s="89"/>
    </row>
    <row r="818" spans="1:17" ht="15.75" customHeight="1" x14ac:dyDescent="0.25">
      <c r="A818" s="89"/>
      <c r="B818" s="89"/>
      <c r="C818" s="89"/>
      <c r="D818" s="89"/>
      <c r="E818" s="89"/>
      <c r="F818" s="89"/>
      <c r="G818" s="89"/>
      <c r="H818" s="89"/>
      <c r="I818" s="89"/>
      <c r="J818" s="89"/>
      <c r="K818" s="89"/>
      <c r="L818" s="89"/>
      <c r="M818" s="89"/>
      <c r="N818" s="90"/>
      <c r="O818" s="90"/>
      <c r="P818" s="90"/>
      <c r="Q818" s="89"/>
    </row>
    <row r="819" spans="1:17" ht="15.75" customHeight="1" x14ac:dyDescent="0.25">
      <c r="A819" s="89"/>
      <c r="B819" s="89"/>
      <c r="C819" s="89"/>
      <c r="D819" s="89"/>
      <c r="E819" s="89"/>
      <c r="F819" s="89"/>
      <c r="G819" s="89"/>
      <c r="H819" s="89"/>
      <c r="I819" s="89"/>
      <c r="J819" s="89"/>
      <c r="K819" s="89"/>
      <c r="L819" s="89"/>
      <c r="M819" s="89"/>
      <c r="N819" s="90"/>
      <c r="O819" s="90"/>
      <c r="P819" s="90"/>
      <c r="Q819" s="89"/>
    </row>
    <row r="820" spans="1:17" ht="15.75" customHeight="1" x14ac:dyDescent="0.25">
      <c r="A820" s="89"/>
      <c r="B820" s="89"/>
      <c r="C820" s="89"/>
      <c r="D820" s="89"/>
      <c r="E820" s="89"/>
      <c r="F820" s="89"/>
      <c r="G820" s="89"/>
      <c r="H820" s="89"/>
      <c r="I820" s="89"/>
      <c r="J820" s="89"/>
      <c r="K820" s="89"/>
      <c r="L820" s="89"/>
      <c r="M820" s="89"/>
      <c r="N820" s="90"/>
      <c r="O820" s="90"/>
      <c r="P820" s="90"/>
      <c r="Q820" s="89"/>
    </row>
    <row r="821" spans="1:17" ht="15.75" customHeight="1" x14ac:dyDescent="0.25">
      <c r="A821" s="89"/>
      <c r="B821" s="89"/>
      <c r="C821" s="89"/>
      <c r="D821" s="89"/>
      <c r="E821" s="89"/>
      <c r="F821" s="89"/>
      <c r="G821" s="89"/>
      <c r="H821" s="89"/>
      <c r="I821" s="89"/>
      <c r="J821" s="89"/>
      <c r="K821" s="89"/>
      <c r="L821" s="89"/>
      <c r="M821" s="89"/>
      <c r="N821" s="90"/>
      <c r="O821" s="90"/>
      <c r="P821" s="90"/>
      <c r="Q821" s="89"/>
    </row>
    <row r="822" spans="1:17" ht="15.75" customHeight="1" x14ac:dyDescent="0.25">
      <c r="A822" s="89"/>
      <c r="B822" s="89"/>
      <c r="C822" s="89"/>
      <c r="D822" s="89"/>
      <c r="E822" s="89"/>
      <c r="F822" s="89"/>
      <c r="G822" s="89"/>
      <c r="H822" s="89"/>
      <c r="I822" s="89"/>
      <c r="J822" s="89"/>
      <c r="K822" s="89"/>
      <c r="L822" s="89"/>
      <c r="M822" s="89"/>
      <c r="N822" s="90"/>
      <c r="O822" s="90"/>
      <c r="P822" s="90"/>
      <c r="Q822" s="89"/>
    </row>
    <row r="823" spans="1:17" ht="15.75" customHeight="1" x14ac:dyDescent="0.25">
      <c r="A823" s="89"/>
      <c r="B823" s="89"/>
      <c r="C823" s="89"/>
      <c r="D823" s="89"/>
      <c r="E823" s="89"/>
      <c r="F823" s="89"/>
      <c r="G823" s="89"/>
      <c r="H823" s="89"/>
      <c r="I823" s="89"/>
      <c r="J823" s="89"/>
      <c r="K823" s="89"/>
      <c r="L823" s="89"/>
      <c r="M823" s="89"/>
      <c r="N823" s="90"/>
      <c r="O823" s="90"/>
      <c r="P823" s="90"/>
      <c r="Q823" s="89"/>
    </row>
    <row r="824" spans="1:17" ht="15.75" customHeight="1" x14ac:dyDescent="0.25">
      <c r="A824" s="89"/>
      <c r="B824" s="89"/>
      <c r="C824" s="89"/>
      <c r="D824" s="89"/>
      <c r="E824" s="89"/>
      <c r="F824" s="89"/>
      <c r="G824" s="89"/>
      <c r="H824" s="89"/>
      <c r="I824" s="89"/>
      <c r="J824" s="89"/>
      <c r="K824" s="89"/>
      <c r="L824" s="89"/>
      <c r="M824" s="89"/>
      <c r="N824" s="90"/>
      <c r="O824" s="90"/>
      <c r="P824" s="90"/>
      <c r="Q824" s="89"/>
    </row>
    <row r="825" spans="1:17" ht="15.75" customHeight="1" x14ac:dyDescent="0.25">
      <c r="A825" s="89"/>
      <c r="B825" s="89"/>
      <c r="C825" s="89"/>
      <c r="D825" s="89"/>
      <c r="E825" s="89"/>
      <c r="F825" s="89"/>
      <c r="G825" s="89"/>
      <c r="H825" s="89"/>
      <c r="I825" s="89"/>
      <c r="J825" s="89"/>
      <c r="K825" s="89"/>
      <c r="L825" s="89"/>
      <c r="M825" s="89"/>
      <c r="N825" s="90"/>
      <c r="O825" s="90"/>
      <c r="P825" s="90"/>
      <c r="Q825" s="89"/>
    </row>
    <row r="826" spans="1:17" ht="15.75" customHeight="1" x14ac:dyDescent="0.25">
      <c r="A826" s="89"/>
      <c r="B826" s="89"/>
      <c r="C826" s="89"/>
      <c r="D826" s="89"/>
      <c r="E826" s="89"/>
      <c r="F826" s="89"/>
      <c r="G826" s="89"/>
      <c r="H826" s="89"/>
      <c r="I826" s="89"/>
      <c r="J826" s="89"/>
      <c r="K826" s="89"/>
      <c r="L826" s="89"/>
      <c r="M826" s="89"/>
      <c r="N826" s="90"/>
      <c r="O826" s="90"/>
      <c r="P826" s="90"/>
      <c r="Q826" s="89"/>
    </row>
    <row r="827" spans="1:17" ht="15.75" customHeight="1" x14ac:dyDescent="0.25">
      <c r="A827" s="89"/>
      <c r="B827" s="89"/>
      <c r="C827" s="89"/>
      <c r="D827" s="89"/>
      <c r="E827" s="89"/>
      <c r="F827" s="89"/>
      <c r="G827" s="89"/>
      <c r="H827" s="89"/>
      <c r="I827" s="89"/>
      <c r="J827" s="89"/>
      <c r="K827" s="89"/>
      <c r="L827" s="89"/>
      <c r="M827" s="89"/>
      <c r="N827" s="90"/>
      <c r="O827" s="90"/>
      <c r="P827" s="90"/>
      <c r="Q827" s="89"/>
    </row>
    <row r="828" spans="1:17" ht="15.75" customHeight="1" x14ac:dyDescent="0.25">
      <c r="A828" s="89"/>
      <c r="B828" s="89"/>
      <c r="C828" s="89"/>
      <c r="D828" s="89"/>
      <c r="E828" s="89"/>
      <c r="F828" s="89"/>
      <c r="G828" s="89"/>
      <c r="H828" s="89"/>
      <c r="I828" s="89"/>
      <c r="J828" s="89"/>
      <c r="K828" s="89"/>
      <c r="L828" s="89"/>
      <c r="M828" s="89"/>
      <c r="N828" s="90"/>
      <c r="O828" s="90"/>
      <c r="P828" s="90"/>
      <c r="Q828" s="89"/>
    </row>
    <row r="829" spans="1:17" ht="15.75" customHeight="1" x14ac:dyDescent="0.25">
      <c r="A829" s="89"/>
      <c r="B829" s="89"/>
      <c r="C829" s="89"/>
      <c r="D829" s="89"/>
      <c r="E829" s="89"/>
      <c r="F829" s="89"/>
      <c r="G829" s="89"/>
      <c r="H829" s="89"/>
      <c r="I829" s="89"/>
      <c r="J829" s="89"/>
      <c r="K829" s="89"/>
      <c r="L829" s="89"/>
      <c r="M829" s="89"/>
      <c r="N829" s="90"/>
      <c r="O829" s="90"/>
      <c r="P829" s="90"/>
      <c r="Q829" s="89"/>
    </row>
    <row r="830" spans="1:17" ht="15.75" customHeight="1" x14ac:dyDescent="0.25">
      <c r="A830" s="89"/>
      <c r="B830" s="89"/>
      <c r="C830" s="89"/>
      <c r="D830" s="89"/>
      <c r="E830" s="89"/>
      <c r="F830" s="89"/>
      <c r="G830" s="89"/>
      <c r="H830" s="89"/>
      <c r="I830" s="89"/>
      <c r="J830" s="89"/>
      <c r="K830" s="89"/>
      <c r="L830" s="89"/>
      <c r="M830" s="89"/>
      <c r="N830" s="90"/>
      <c r="O830" s="90"/>
      <c r="P830" s="90"/>
      <c r="Q830" s="89"/>
    </row>
    <row r="831" spans="1:17" ht="15.75" customHeight="1" x14ac:dyDescent="0.25">
      <c r="A831" s="89"/>
      <c r="B831" s="89"/>
      <c r="C831" s="89"/>
      <c r="D831" s="89"/>
      <c r="E831" s="89"/>
      <c r="F831" s="89"/>
      <c r="G831" s="89"/>
      <c r="H831" s="89"/>
      <c r="I831" s="89"/>
      <c r="J831" s="89"/>
      <c r="K831" s="89"/>
      <c r="L831" s="89"/>
      <c r="M831" s="89"/>
      <c r="N831" s="90"/>
      <c r="O831" s="90"/>
      <c r="P831" s="90"/>
      <c r="Q831" s="89"/>
    </row>
    <row r="832" spans="1:17" ht="15.75" customHeight="1" x14ac:dyDescent="0.25">
      <c r="A832" s="89"/>
      <c r="B832" s="89"/>
      <c r="C832" s="89"/>
      <c r="D832" s="89"/>
      <c r="E832" s="89"/>
      <c r="F832" s="89"/>
      <c r="G832" s="89"/>
      <c r="H832" s="89"/>
      <c r="I832" s="89"/>
      <c r="J832" s="89"/>
      <c r="K832" s="89"/>
      <c r="L832" s="89"/>
      <c r="M832" s="89"/>
      <c r="N832" s="90"/>
      <c r="O832" s="90"/>
      <c r="P832" s="90"/>
      <c r="Q832" s="89"/>
    </row>
    <row r="833" spans="1:17" ht="15.75" customHeight="1" x14ac:dyDescent="0.25">
      <c r="A833" s="89"/>
      <c r="B833" s="89"/>
      <c r="C833" s="89"/>
      <c r="D833" s="89"/>
      <c r="E833" s="89"/>
      <c r="F833" s="89"/>
      <c r="G833" s="89"/>
      <c r="H833" s="89"/>
      <c r="I833" s="89"/>
      <c r="J833" s="89"/>
      <c r="K833" s="89"/>
      <c r="L833" s="89"/>
      <c r="M833" s="89"/>
      <c r="N833" s="90"/>
      <c r="O833" s="90"/>
      <c r="P833" s="90"/>
      <c r="Q833" s="89"/>
    </row>
    <row r="834" spans="1:17" ht="15.75" customHeight="1" x14ac:dyDescent="0.25">
      <c r="A834" s="89"/>
      <c r="B834" s="89"/>
      <c r="C834" s="89"/>
      <c r="D834" s="89"/>
      <c r="E834" s="89"/>
      <c r="F834" s="89"/>
      <c r="G834" s="89"/>
      <c r="H834" s="89"/>
      <c r="I834" s="89"/>
      <c r="J834" s="89"/>
      <c r="K834" s="89"/>
      <c r="L834" s="89"/>
      <c r="M834" s="89"/>
      <c r="N834" s="90"/>
      <c r="O834" s="90"/>
      <c r="P834" s="90"/>
      <c r="Q834" s="89"/>
    </row>
    <row r="835" spans="1:17" ht="15.75" customHeight="1" x14ac:dyDescent="0.25">
      <c r="A835" s="89"/>
      <c r="B835" s="89"/>
      <c r="C835" s="89"/>
      <c r="D835" s="89"/>
      <c r="E835" s="89"/>
      <c r="F835" s="89"/>
      <c r="G835" s="89"/>
      <c r="H835" s="89"/>
      <c r="I835" s="89"/>
      <c r="J835" s="89"/>
      <c r="K835" s="89"/>
      <c r="L835" s="89"/>
      <c r="M835" s="89"/>
      <c r="N835" s="90"/>
      <c r="O835" s="90"/>
      <c r="P835" s="90"/>
      <c r="Q835" s="89"/>
    </row>
    <row r="836" spans="1:17" ht="15.75" customHeight="1" x14ac:dyDescent="0.25">
      <c r="A836" s="89"/>
      <c r="B836" s="89"/>
      <c r="C836" s="89"/>
      <c r="D836" s="89"/>
      <c r="E836" s="89"/>
      <c r="F836" s="89"/>
      <c r="G836" s="89"/>
      <c r="H836" s="89"/>
      <c r="I836" s="89"/>
      <c r="J836" s="89"/>
      <c r="K836" s="89"/>
      <c r="L836" s="89"/>
      <c r="M836" s="89"/>
      <c r="N836" s="90"/>
      <c r="O836" s="90"/>
      <c r="P836" s="90"/>
      <c r="Q836" s="89"/>
    </row>
    <row r="837" spans="1:17" ht="15.75" customHeight="1" x14ac:dyDescent="0.25">
      <c r="A837" s="89"/>
      <c r="B837" s="89"/>
      <c r="C837" s="89"/>
      <c r="D837" s="89"/>
      <c r="E837" s="89"/>
      <c r="F837" s="89"/>
      <c r="G837" s="89"/>
      <c r="H837" s="89"/>
      <c r="I837" s="89"/>
      <c r="J837" s="89"/>
      <c r="K837" s="89"/>
      <c r="L837" s="89"/>
      <c r="M837" s="89"/>
      <c r="N837" s="90"/>
      <c r="O837" s="90"/>
      <c r="P837" s="90"/>
      <c r="Q837" s="89"/>
    </row>
    <row r="838" spans="1:17" ht="15.75" customHeight="1" x14ac:dyDescent="0.25">
      <c r="A838" s="89"/>
      <c r="B838" s="89"/>
      <c r="C838" s="89"/>
      <c r="D838" s="89"/>
      <c r="E838" s="89"/>
      <c r="F838" s="89"/>
      <c r="G838" s="89"/>
      <c r="H838" s="89"/>
      <c r="I838" s="89"/>
      <c r="J838" s="89"/>
      <c r="K838" s="89"/>
      <c r="L838" s="89"/>
      <c r="M838" s="89"/>
      <c r="N838" s="90"/>
      <c r="O838" s="90"/>
      <c r="P838" s="90"/>
      <c r="Q838" s="89"/>
    </row>
    <row r="839" spans="1:17" ht="15.75" customHeight="1" x14ac:dyDescent="0.25">
      <c r="A839" s="89"/>
      <c r="B839" s="89"/>
      <c r="C839" s="89"/>
      <c r="D839" s="89"/>
      <c r="E839" s="89"/>
      <c r="F839" s="89"/>
      <c r="G839" s="89"/>
      <c r="H839" s="89"/>
      <c r="I839" s="89"/>
      <c r="J839" s="89"/>
      <c r="K839" s="89"/>
      <c r="L839" s="89"/>
      <c r="M839" s="89"/>
      <c r="N839" s="90"/>
      <c r="O839" s="90"/>
      <c r="P839" s="90"/>
      <c r="Q839" s="89"/>
    </row>
    <row r="840" spans="1:17" ht="15.75" customHeight="1" x14ac:dyDescent="0.25">
      <c r="A840" s="89"/>
      <c r="B840" s="89"/>
      <c r="C840" s="89"/>
      <c r="D840" s="89"/>
      <c r="E840" s="89"/>
      <c r="F840" s="89"/>
      <c r="G840" s="89"/>
      <c r="H840" s="89"/>
      <c r="I840" s="89"/>
      <c r="J840" s="89"/>
      <c r="K840" s="89"/>
      <c r="L840" s="89"/>
      <c r="M840" s="89"/>
      <c r="N840" s="90"/>
      <c r="O840" s="90"/>
      <c r="P840" s="90"/>
      <c r="Q840" s="89"/>
    </row>
    <row r="841" spans="1:17" ht="15.75" customHeight="1" x14ac:dyDescent="0.25">
      <c r="A841" s="89"/>
      <c r="B841" s="89"/>
      <c r="C841" s="89"/>
      <c r="D841" s="89"/>
      <c r="E841" s="89"/>
      <c r="F841" s="89"/>
      <c r="G841" s="89"/>
      <c r="H841" s="89"/>
      <c r="I841" s="89"/>
      <c r="J841" s="89"/>
      <c r="K841" s="89"/>
      <c r="L841" s="89"/>
      <c r="M841" s="89"/>
      <c r="N841" s="90"/>
      <c r="O841" s="90"/>
      <c r="P841" s="90"/>
      <c r="Q841" s="89"/>
    </row>
    <row r="842" spans="1:17" ht="15.75" customHeight="1" x14ac:dyDescent="0.25">
      <c r="A842" s="89"/>
      <c r="B842" s="89"/>
      <c r="C842" s="89"/>
      <c r="D842" s="89"/>
      <c r="E842" s="89"/>
      <c r="F842" s="89"/>
      <c r="G842" s="89"/>
      <c r="H842" s="89"/>
      <c r="I842" s="89"/>
      <c r="J842" s="89"/>
      <c r="K842" s="89"/>
      <c r="L842" s="89"/>
      <c r="M842" s="89"/>
      <c r="N842" s="90"/>
      <c r="O842" s="90"/>
      <c r="P842" s="90"/>
      <c r="Q842" s="89"/>
    </row>
    <row r="843" spans="1:17" ht="15.75" customHeight="1" x14ac:dyDescent="0.25">
      <c r="A843" s="89"/>
      <c r="B843" s="89"/>
      <c r="C843" s="89"/>
      <c r="D843" s="89"/>
      <c r="E843" s="89"/>
      <c r="F843" s="89"/>
      <c r="G843" s="89"/>
      <c r="H843" s="89"/>
      <c r="I843" s="89"/>
      <c r="J843" s="89"/>
      <c r="K843" s="89"/>
      <c r="L843" s="89"/>
      <c r="M843" s="89"/>
      <c r="N843" s="90"/>
      <c r="O843" s="90"/>
      <c r="P843" s="90"/>
      <c r="Q843" s="89"/>
    </row>
    <row r="844" spans="1:17" ht="15.75" customHeight="1" x14ac:dyDescent="0.25">
      <c r="A844" s="89"/>
      <c r="B844" s="89"/>
      <c r="C844" s="89"/>
      <c r="D844" s="89"/>
      <c r="E844" s="89"/>
      <c r="F844" s="89"/>
      <c r="G844" s="89"/>
      <c r="H844" s="89"/>
      <c r="I844" s="89"/>
      <c r="J844" s="89"/>
      <c r="K844" s="89"/>
      <c r="L844" s="89"/>
      <c r="M844" s="89"/>
      <c r="N844" s="90"/>
      <c r="O844" s="90"/>
      <c r="P844" s="90"/>
      <c r="Q844" s="89"/>
    </row>
    <row r="845" spans="1:17" ht="15.75" customHeight="1" x14ac:dyDescent="0.25">
      <c r="A845" s="89"/>
      <c r="B845" s="89"/>
      <c r="C845" s="89"/>
      <c r="D845" s="89"/>
      <c r="E845" s="89"/>
      <c r="F845" s="89"/>
      <c r="G845" s="89"/>
      <c r="H845" s="89"/>
      <c r="I845" s="89"/>
      <c r="J845" s="89"/>
      <c r="K845" s="89"/>
      <c r="L845" s="89"/>
      <c r="M845" s="89"/>
      <c r="N845" s="90"/>
      <c r="O845" s="90"/>
      <c r="P845" s="90"/>
      <c r="Q845" s="89"/>
    </row>
    <row r="846" spans="1:17" ht="15.75" customHeight="1" x14ac:dyDescent="0.25">
      <c r="A846" s="89"/>
      <c r="B846" s="89"/>
      <c r="C846" s="89"/>
      <c r="D846" s="89"/>
      <c r="E846" s="89"/>
      <c r="F846" s="89"/>
      <c r="G846" s="89"/>
      <c r="H846" s="89"/>
      <c r="I846" s="89"/>
      <c r="J846" s="89"/>
      <c r="K846" s="89"/>
      <c r="L846" s="89"/>
      <c r="M846" s="89"/>
      <c r="N846" s="90"/>
      <c r="O846" s="90"/>
      <c r="P846" s="90"/>
      <c r="Q846" s="89"/>
    </row>
    <row r="847" spans="1:17" ht="15.75" customHeight="1" x14ac:dyDescent="0.25">
      <c r="A847" s="89"/>
      <c r="B847" s="89"/>
      <c r="C847" s="89"/>
      <c r="D847" s="89"/>
      <c r="E847" s="89"/>
      <c r="F847" s="89"/>
      <c r="G847" s="89"/>
      <c r="H847" s="89"/>
      <c r="I847" s="89"/>
      <c r="J847" s="89"/>
      <c r="K847" s="89"/>
      <c r="L847" s="89"/>
      <c r="M847" s="89"/>
      <c r="N847" s="90"/>
      <c r="O847" s="90"/>
      <c r="P847" s="90"/>
      <c r="Q847" s="89"/>
    </row>
    <row r="848" spans="1:17" ht="15.75" customHeight="1" x14ac:dyDescent="0.25">
      <c r="A848" s="89"/>
      <c r="B848" s="89"/>
      <c r="C848" s="89"/>
      <c r="D848" s="89"/>
      <c r="E848" s="89"/>
      <c r="F848" s="89"/>
      <c r="G848" s="89"/>
      <c r="H848" s="89"/>
      <c r="I848" s="89"/>
      <c r="J848" s="89"/>
      <c r="K848" s="89"/>
      <c r="L848" s="89"/>
      <c r="M848" s="89"/>
      <c r="N848" s="90"/>
      <c r="O848" s="90"/>
      <c r="P848" s="90"/>
      <c r="Q848" s="89"/>
    </row>
    <row r="849" spans="1:17" ht="15.75" customHeight="1" x14ac:dyDescent="0.25">
      <c r="A849" s="89"/>
      <c r="B849" s="89"/>
      <c r="C849" s="89"/>
      <c r="D849" s="89"/>
      <c r="E849" s="89"/>
      <c r="F849" s="89"/>
      <c r="G849" s="89"/>
      <c r="H849" s="89"/>
      <c r="I849" s="89"/>
      <c r="J849" s="89"/>
      <c r="K849" s="89"/>
      <c r="L849" s="89"/>
      <c r="M849" s="89"/>
      <c r="N849" s="90"/>
      <c r="O849" s="90"/>
      <c r="P849" s="90"/>
      <c r="Q849" s="89"/>
    </row>
    <row r="850" spans="1:17" ht="15.75" customHeight="1" x14ac:dyDescent="0.25">
      <c r="A850" s="89"/>
      <c r="B850" s="89"/>
      <c r="C850" s="89"/>
      <c r="D850" s="89"/>
      <c r="E850" s="89"/>
      <c r="F850" s="89"/>
      <c r="G850" s="89"/>
      <c r="H850" s="89"/>
      <c r="I850" s="89"/>
      <c r="J850" s="89"/>
      <c r="K850" s="89"/>
      <c r="L850" s="89"/>
      <c r="M850" s="89"/>
      <c r="N850" s="90"/>
      <c r="O850" s="90"/>
      <c r="P850" s="90"/>
      <c r="Q850" s="89"/>
    </row>
    <row r="851" spans="1:17" ht="15.75" customHeight="1" x14ac:dyDescent="0.25">
      <c r="A851" s="89"/>
      <c r="B851" s="89"/>
      <c r="C851" s="89"/>
      <c r="D851" s="89"/>
      <c r="E851" s="89"/>
      <c r="F851" s="89"/>
      <c r="G851" s="89"/>
      <c r="H851" s="89"/>
      <c r="I851" s="89"/>
      <c r="J851" s="89"/>
      <c r="K851" s="89"/>
      <c r="L851" s="89"/>
      <c r="M851" s="89"/>
      <c r="N851" s="90"/>
      <c r="O851" s="90"/>
      <c r="P851" s="90"/>
      <c r="Q851" s="89"/>
    </row>
    <row r="852" spans="1:17" ht="15.75" customHeight="1" x14ac:dyDescent="0.25">
      <c r="A852" s="89"/>
      <c r="B852" s="89"/>
      <c r="C852" s="89"/>
      <c r="D852" s="89"/>
      <c r="E852" s="89"/>
      <c r="F852" s="89"/>
      <c r="G852" s="89"/>
      <c r="H852" s="89"/>
      <c r="I852" s="89"/>
      <c r="J852" s="89"/>
      <c r="K852" s="89"/>
      <c r="L852" s="89"/>
      <c r="M852" s="89"/>
      <c r="N852" s="90"/>
      <c r="O852" s="90"/>
      <c r="P852" s="90"/>
      <c r="Q852" s="89"/>
    </row>
    <row r="853" spans="1:17" ht="15.75" customHeight="1" x14ac:dyDescent="0.25">
      <c r="A853" s="89"/>
      <c r="B853" s="89"/>
      <c r="C853" s="89"/>
      <c r="D853" s="89"/>
      <c r="E853" s="89"/>
      <c r="F853" s="89"/>
      <c r="G853" s="89"/>
      <c r="H853" s="89"/>
      <c r="I853" s="89"/>
      <c r="J853" s="89"/>
      <c r="K853" s="89"/>
      <c r="L853" s="89"/>
      <c r="M853" s="89"/>
      <c r="N853" s="90"/>
      <c r="O853" s="90"/>
      <c r="P853" s="90"/>
      <c r="Q853" s="89"/>
    </row>
    <row r="854" spans="1:17" ht="15.75" customHeight="1" x14ac:dyDescent="0.25">
      <c r="A854" s="89"/>
      <c r="B854" s="89"/>
      <c r="C854" s="89"/>
      <c r="D854" s="89"/>
      <c r="E854" s="89"/>
      <c r="F854" s="89"/>
      <c r="G854" s="89"/>
      <c r="H854" s="89"/>
      <c r="I854" s="89"/>
      <c r="J854" s="89"/>
      <c r="K854" s="89"/>
      <c r="L854" s="89"/>
      <c r="M854" s="89"/>
      <c r="N854" s="90"/>
      <c r="O854" s="90"/>
      <c r="P854" s="90"/>
      <c r="Q854" s="89"/>
    </row>
    <row r="855" spans="1:17" ht="15.75" customHeight="1" x14ac:dyDescent="0.25">
      <c r="A855" s="89"/>
      <c r="B855" s="89"/>
      <c r="C855" s="89"/>
      <c r="D855" s="89"/>
      <c r="E855" s="89"/>
      <c r="F855" s="89"/>
      <c r="G855" s="89"/>
      <c r="H855" s="89"/>
      <c r="I855" s="89"/>
      <c r="J855" s="89"/>
      <c r="K855" s="89"/>
      <c r="L855" s="89"/>
      <c r="M855" s="89"/>
      <c r="N855" s="90"/>
      <c r="O855" s="90"/>
      <c r="P855" s="90"/>
      <c r="Q855" s="89"/>
    </row>
    <row r="856" spans="1:17" ht="15.75" customHeight="1" x14ac:dyDescent="0.25">
      <c r="A856" s="89"/>
      <c r="B856" s="89"/>
      <c r="C856" s="89"/>
      <c r="D856" s="89"/>
      <c r="E856" s="89"/>
      <c r="F856" s="89"/>
      <c r="G856" s="89"/>
      <c r="H856" s="89"/>
      <c r="I856" s="89"/>
      <c r="J856" s="89"/>
      <c r="K856" s="89"/>
      <c r="L856" s="89"/>
      <c r="M856" s="89"/>
      <c r="N856" s="90"/>
      <c r="O856" s="90"/>
      <c r="P856" s="90"/>
      <c r="Q856" s="89"/>
    </row>
    <row r="857" spans="1:17" ht="15.75" customHeight="1" x14ac:dyDescent="0.25">
      <c r="A857" s="89"/>
      <c r="B857" s="89"/>
      <c r="C857" s="89"/>
      <c r="D857" s="89"/>
      <c r="E857" s="89"/>
      <c r="F857" s="89"/>
      <c r="G857" s="89"/>
      <c r="H857" s="89"/>
      <c r="I857" s="89"/>
      <c r="J857" s="89"/>
      <c r="K857" s="89"/>
      <c r="L857" s="89"/>
      <c r="M857" s="89"/>
      <c r="N857" s="90"/>
      <c r="O857" s="90"/>
      <c r="P857" s="90"/>
      <c r="Q857" s="89"/>
    </row>
    <row r="858" spans="1:17" ht="15.75" customHeight="1" x14ac:dyDescent="0.25">
      <c r="A858" s="89"/>
      <c r="B858" s="89"/>
      <c r="C858" s="89"/>
      <c r="D858" s="89"/>
      <c r="E858" s="89"/>
      <c r="F858" s="89"/>
      <c r="G858" s="89"/>
      <c r="H858" s="89"/>
      <c r="I858" s="89"/>
      <c r="J858" s="89"/>
      <c r="K858" s="89"/>
      <c r="L858" s="89"/>
      <c r="M858" s="89"/>
      <c r="N858" s="90"/>
      <c r="O858" s="90"/>
      <c r="P858" s="90"/>
      <c r="Q858" s="89"/>
    </row>
    <row r="859" spans="1:17" ht="15.75" customHeight="1" x14ac:dyDescent="0.25">
      <c r="A859" s="89"/>
      <c r="B859" s="89"/>
      <c r="C859" s="89"/>
      <c r="D859" s="89"/>
      <c r="E859" s="89"/>
      <c r="F859" s="89"/>
      <c r="G859" s="89"/>
      <c r="H859" s="89"/>
      <c r="I859" s="89"/>
      <c r="J859" s="89"/>
      <c r="K859" s="89"/>
      <c r="L859" s="89"/>
      <c r="M859" s="89"/>
      <c r="N859" s="90"/>
      <c r="O859" s="90"/>
      <c r="P859" s="90"/>
      <c r="Q859" s="89"/>
    </row>
    <row r="860" spans="1:17" ht="15.75" customHeight="1" x14ac:dyDescent="0.25">
      <c r="A860" s="89"/>
      <c r="B860" s="89"/>
      <c r="C860" s="89"/>
      <c r="D860" s="89"/>
      <c r="E860" s="89"/>
      <c r="F860" s="89"/>
      <c r="G860" s="89"/>
      <c r="H860" s="89"/>
      <c r="I860" s="89"/>
      <c r="J860" s="89"/>
      <c r="K860" s="89"/>
      <c r="L860" s="89"/>
      <c r="M860" s="89"/>
      <c r="N860" s="90"/>
      <c r="O860" s="90"/>
      <c r="P860" s="90"/>
      <c r="Q860" s="89"/>
    </row>
    <row r="861" spans="1:17" ht="15.75" customHeight="1" x14ac:dyDescent="0.25">
      <c r="A861" s="89"/>
      <c r="B861" s="89"/>
      <c r="C861" s="89"/>
      <c r="D861" s="89"/>
      <c r="E861" s="89"/>
      <c r="F861" s="89"/>
      <c r="G861" s="89"/>
      <c r="H861" s="89"/>
      <c r="I861" s="89"/>
      <c r="J861" s="89"/>
      <c r="K861" s="89"/>
      <c r="L861" s="89"/>
      <c r="M861" s="89"/>
      <c r="N861" s="90"/>
      <c r="O861" s="90"/>
      <c r="P861" s="90"/>
      <c r="Q861" s="89"/>
    </row>
    <row r="862" spans="1:17" ht="15.75" customHeight="1" x14ac:dyDescent="0.25">
      <c r="A862" s="89"/>
      <c r="B862" s="89"/>
      <c r="C862" s="89"/>
      <c r="D862" s="89"/>
      <c r="E862" s="89"/>
      <c r="F862" s="89"/>
      <c r="G862" s="89"/>
      <c r="H862" s="89"/>
      <c r="I862" s="89"/>
      <c r="J862" s="89"/>
      <c r="K862" s="89"/>
      <c r="L862" s="89"/>
      <c r="M862" s="89"/>
      <c r="N862" s="90"/>
      <c r="O862" s="90"/>
      <c r="P862" s="90"/>
      <c r="Q862" s="89"/>
    </row>
    <row r="863" spans="1:17" ht="15.75" customHeight="1" x14ac:dyDescent="0.25">
      <c r="A863" s="89"/>
      <c r="B863" s="89"/>
      <c r="C863" s="89"/>
      <c r="D863" s="89"/>
      <c r="E863" s="89"/>
      <c r="F863" s="89"/>
      <c r="G863" s="89"/>
      <c r="H863" s="89"/>
      <c r="I863" s="89"/>
      <c r="J863" s="89"/>
      <c r="K863" s="89"/>
      <c r="L863" s="89"/>
      <c r="M863" s="89"/>
      <c r="N863" s="90"/>
      <c r="O863" s="90"/>
      <c r="P863" s="90"/>
      <c r="Q863" s="89"/>
    </row>
    <row r="864" spans="1:17" ht="15.75" customHeight="1" x14ac:dyDescent="0.25">
      <c r="A864" s="89"/>
      <c r="B864" s="89"/>
      <c r="C864" s="89"/>
      <c r="D864" s="89"/>
      <c r="E864" s="89"/>
      <c r="F864" s="89"/>
      <c r="G864" s="89"/>
      <c r="H864" s="89"/>
      <c r="I864" s="89"/>
      <c r="J864" s="89"/>
      <c r="K864" s="89"/>
      <c r="L864" s="89"/>
      <c r="M864" s="89"/>
      <c r="N864" s="90"/>
      <c r="O864" s="90"/>
      <c r="P864" s="90"/>
      <c r="Q864" s="89"/>
    </row>
    <row r="865" spans="1:17" ht="15.75" customHeight="1" x14ac:dyDescent="0.25">
      <c r="A865" s="89"/>
      <c r="B865" s="89"/>
      <c r="C865" s="89"/>
      <c r="D865" s="89"/>
      <c r="E865" s="89"/>
      <c r="F865" s="89"/>
      <c r="G865" s="89"/>
      <c r="H865" s="89"/>
      <c r="I865" s="89"/>
      <c r="J865" s="89"/>
      <c r="K865" s="89"/>
      <c r="L865" s="89"/>
      <c r="M865" s="89"/>
      <c r="N865" s="90"/>
      <c r="O865" s="90"/>
      <c r="P865" s="90"/>
      <c r="Q865" s="89"/>
    </row>
    <row r="866" spans="1:17" ht="15.75" customHeight="1" x14ac:dyDescent="0.25">
      <c r="A866" s="89"/>
      <c r="B866" s="89"/>
      <c r="C866" s="89"/>
      <c r="D866" s="89"/>
      <c r="E866" s="89"/>
      <c r="F866" s="89"/>
      <c r="G866" s="89"/>
      <c r="H866" s="89"/>
      <c r="I866" s="89"/>
      <c r="J866" s="89"/>
      <c r="K866" s="89"/>
      <c r="L866" s="89"/>
      <c r="M866" s="89"/>
      <c r="N866" s="90"/>
      <c r="O866" s="90"/>
      <c r="P866" s="90"/>
      <c r="Q866" s="89"/>
    </row>
    <row r="867" spans="1:17" ht="15.75" customHeight="1" x14ac:dyDescent="0.25">
      <c r="A867" s="89"/>
      <c r="B867" s="89"/>
      <c r="C867" s="89"/>
      <c r="D867" s="89"/>
      <c r="E867" s="89"/>
      <c r="F867" s="89"/>
      <c r="G867" s="89"/>
      <c r="H867" s="89"/>
      <c r="I867" s="89"/>
      <c r="J867" s="89"/>
      <c r="K867" s="89"/>
      <c r="L867" s="89"/>
      <c r="M867" s="89"/>
      <c r="N867" s="90"/>
      <c r="O867" s="90"/>
      <c r="P867" s="90"/>
      <c r="Q867" s="89"/>
    </row>
    <row r="868" spans="1:17" ht="15.75" customHeight="1" x14ac:dyDescent="0.25">
      <c r="A868" s="89"/>
      <c r="B868" s="89"/>
      <c r="C868" s="89"/>
      <c r="D868" s="89"/>
      <c r="E868" s="89"/>
      <c r="F868" s="89"/>
      <c r="G868" s="89"/>
      <c r="H868" s="89"/>
      <c r="I868" s="89"/>
      <c r="J868" s="89"/>
      <c r="K868" s="89"/>
      <c r="L868" s="89"/>
      <c r="M868" s="89"/>
      <c r="N868" s="90"/>
      <c r="O868" s="90"/>
      <c r="P868" s="90"/>
      <c r="Q868" s="89"/>
    </row>
    <row r="869" spans="1:17" ht="15.75" customHeight="1" x14ac:dyDescent="0.25">
      <c r="A869" s="89"/>
      <c r="B869" s="89"/>
      <c r="C869" s="89"/>
      <c r="D869" s="89"/>
      <c r="E869" s="89"/>
      <c r="F869" s="89"/>
      <c r="G869" s="89"/>
      <c r="H869" s="89"/>
      <c r="I869" s="89"/>
      <c r="J869" s="89"/>
      <c r="K869" s="89"/>
      <c r="L869" s="89"/>
      <c r="M869" s="89"/>
      <c r="N869" s="90"/>
      <c r="O869" s="90"/>
      <c r="P869" s="90"/>
      <c r="Q869" s="89"/>
    </row>
    <row r="870" spans="1:17" ht="15.75" customHeight="1" x14ac:dyDescent="0.25">
      <c r="A870" s="89"/>
      <c r="B870" s="89"/>
      <c r="C870" s="89"/>
      <c r="D870" s="89"/>
      <c r="E870" s="89"/>
      <c r="F870" s="89"/>
      <c r="G870" s="89"/>
      <c r="H870" s="89"/>
      <c r="I870" s="89"/>
      <c r="J870" s="89"/>
      <c r="K870" s="89"/>
      <c r="L870" s="89"/>
      <c r="M870" s="89"/>
      <c r="N870" s="90"/>
      <c r="O870" s="90"/>
      <c r="P870" s="90"/>
      <c r="Q870" s="89"/>
    </row>
    <row r="871" spans="1:17" ht="15.75" customHeight="1" x14ac:dyDescent="0.25">
      <c r="A871" s="89"/>
      <c r="B871" s="89"/>
      <c r="C871" s="89"/>
      <c r="D871" s="89"/>
      <c r="E871" s="89"/>
      <c r="F871" s="89"/>
      <c r="G871" s="89"/>
      <c r="H871" s="89"/>
      <c r="I871" s="89"/>
      <c r="J871" s="89"/>
      <c r="K871" s="89"/>
      <c r="L871" s="89"/>
      <c r="M871" s="89"/>
      <c r="N871" s="90"/>
      <c r="O871" s="90"/>
      <c r="P871" s="90"/>
      <c r="Q871" s="89"/>
    </row>
    <row r="872" spans="1:17" ht="15.75" customHeight="1" x14ac:dyDescent="0.25">
      <c r="A872" s="89"/>
      <c r="B872" s="89"/>
      <c r="C872" s="89"/>
      <c r="D872" s="89"/>
      <c r="E872" s="89"/>
      <c r="F872" s="89"/>
      <c r="G872" s="89"/>
      <c r="H872" s="89"/>
      <c r="I872" s="89"/>
      <c r="J872" s="89"/>
      <c r="K872" s="89"/>
      <c r="L872" s="89"/>
      <c r="M872" s="89"/>
      <c r="N872" s="90"/>
      <c r="O872" s="90"/>
      <c r="P872" s="90"/>
      <c r="Q872" s="89"/>
    </row>
    <row r="873" spans="1:17" ht="15.75" customHeight="1" x14ac:dyDescent="0.25">
      <c r="A873" s="89"/>
      <c r="B873" s="89"/>
      <c r="C873" s="89"/>
      <c r="D873" s="89"/>
      <c r="E873" s="89"/>
      <c r="F873" s="89"/>
      <c r="G873" s="89"/>
      <c r="H873" s="89"/>
      <c r="I873" s="89"/>
      <c r="J873" s="89"/>
      <c r="K873" s="89"/>
      <c r="L873" s="89"/>
      <c r="M873" s="89"/>
      <c r="N873" s="90"/>
      <c r="O873" s="90"/>
      <c r="P873" s="90"/>
      <c r="Q873" s="89"/>
    </row>
    <row r="874" spans="1:17" ht="15.75" customHeight="1" x14ac:dyDescent="0.25">
      <c r="A874" s="89"/>
      <c r="B874" s="89"/>
      <c r="C874" s="89"/>
      <c r="D874" s="89"/>
      <c r="E874" s="89"/>
      <c r="F874" s="89"/>
      <c r="G874" s="89"/>
      <c r="H874" s="89"/>
      <c r="I874" s="89"/>
      <c r="J874" s="89"/>
      <c r="K874" s="89"/>
      <c r="L874" s="89"/>
      <c r="M874" s="89"/>
      <c r="N874" s="90"/>
      <c r="O874" s="90"/>
      <c r="P874" s="90"/>
      <c r="Q874" s="89"/>
    </row>
    <row r="875" spans="1:17" ht="15.75" customHeight="1" x14ac:dyDescent="0.25">
      <c r="A875" s="89"/>
      <c r="B875" s="89"/>
      <c r="C875" s="89"/>
      <c r="D875" s="89"/>
      <c r="E875" s="89"/>
      <c r="F875" s="89"/>
      <c r="G875" s="89"/>
      <c r="H875" s="89"/>
      <c r="I875" s="89"/>
      <c r="J875" s="89"/>
      <c r="K875" s="89"/>
      <c r="L875" s="89"/>
      <c r="M875" s="89"/>
      <c r="N875" s="90"/>
      <c r="O875" s="90"/>
      <c r="P875" s="90"/>
      <c r="Q875" s="89"/>
    </row>
    <row r="876" spans="1:17" ht="15.75" customHeight="1" x14ac:dyDescent="0.25">
      <c r="A876" s="89"/>
      <c r="B876" s="89"/>
      <c r="C876" s="89"/>
      <c r="D876" s="89"/>
      <c r="E876" s="89"/>
      <c r="F876" s="89"/>
      <c r="G876" s="89"/>
      <c r="H876" s="89"/>
      <c r="I876" s="89"/>
      <c r="J876" s="89"/>
      <c r="K876" s="89"/>
      <c r="L876" s="89"/>
      <c r="M876" s="89"/>
      <c r="N876" s="90"/>
      <c r="O876" s="90"/>
      <c r="P876" s="90"/>
      <c r="Q876" s="89"/>
    </row>
    <row r="877" spans="1:17" ht="15.75" customHeight="1" x14ac:dyDescent="0.25">
      <c r="A877" s="89"/>
      <c r="B877" s="89"/>
      <c r="C877" s="89"/>
      <c r="D877" s="89"/>
      <c r="E877" s="89"/>
      <c r="F877" s="89"/>
      <c r="G877" s="89"/>
      <c r="H877" s="89"/>
      <c r="I877" s="89"/>
      <c r="J877" s="89"/>
      <c r="K877" s="89"/>
      <c r="L877" s="89"/>
      <c r="M877" s="89"/>
      <c r="N877" s="90"/>
      <c r="O877" s="90"/>
      <c r="P877" s="90"/>
      <c r="Q877" s="89"/>
    </row>
    <row r="878" spans="1:17" ht="15.75" customHeight="1" x14ac:dyDescent="0.25">
      <c r="A878" s="89"/>
      <c r="B878" s="89"/>
      <c r="C878" s="89"/>
      <c r="D878" s="89"/>
      <c r="E878" s="89"/>
      <c r="F878" s="89"/>
      <c r="G878" s="89"/>
      <c r="H878" s="89"/>
      <c r="I878" s="89"/>
      <c r="J878" s="89"/>
      <c r="K878" s="89"/>
      <c r="L878" s="89"/>
      <c r="M878" s="89"/>
      <c r="N878" s="90"/>
      <c r="O878" s="90"/>
      <c r="P878" s="90"/>
      <c r="Q878" s="89"/>
    </row>
    <row r="879" spans="1:17" ht="15.75" customHeight="1" x14ac:dyDescent="0.25">
      <c r="A879" s="89"/>
      <c r="B879" s="89"/>
      <c r="C879" s="89"/>
      <c r="D879" s="89"/>
      <c r="E879" s="89"/>
      <c r="F879" s="89"/>
      <c r="G879" s="89"/>
      <c r="H879" s="89"/>
      <c r="I879" s="89"/>
      <c r="J879" s="89"/>
      <c r="K879" s="89"/>
      <c r="L879" s="89"/>
      <c r="M879" s="89"/>
      <c r="N879" s="90"/>
      <c r="O879" s="90"/>
      <c r="P879" s="90"/>
      <c r="Q879" s="89"/>
    </row>
    <row r="880" spans="1:17" ht="15.75" customHeight="1" x14ac:dyDescent="0.25">
      <c r="A880" s="89"/>
      <c r="B880" s="89"/>
      <c r="C880" s="89"/>
      <c r="D880" s="89"/>
      <c r="E880" s="89"/>
      <c r="F880" s="89"/>
      <c r="G880" s="89"/>
      <c r="H880" s="89"/>
      <c r="I880" s="89"/>
      <c r="J880" s="89"/>
      <c r="K880" s="89"/>
      <c r="L880" s="89"/>
      <c r="M880" s="89"/>
      <c r="N880" s="90"/>
      <c r="O880" s="90"/>
      <c r="P880" s="90"/>
      <c r="Q880" s="89"/>
    </row>
    <row r="881" spans="1:17" ht="15.75" customHeight="1" x14ac:dyDescent="0.25">
      <c r="A881" s="89"/>
      <c r="B881" s="89"/>
      <c r="C881" s="89"/>
      <c r="D881" s="89"/>
      <c r="E881" s="89"/>
      <c r="F881" s="89"/>
      <c r="G881" s="89"/>
      <c r="H881" s="89"/>
      <c r="I881" s="89"/>
      <c r="J881" s="89"/>
      <c r="K881" s="89"/>
      <c r="L881" s="89"/>
      <c r="M881" s="89"/>
      <c r="N881" s="90"/>
      <c r="O881" s="90"/>
      <c r="P881" s="90"/>
      <c r="Q881" s="89"/>
    </row>
    <row r="882" spans="1:17" ht="15.75" customHeight="1" x14ac:dyDescent="0.25">
      <c r="A882" s="89"/>
      <c r="B882" s="89"/>
      <c r="C882" s="89"/>
      <c r="D882" s="89"/>
      <c r="E882" s="89"/>
      <c r="F882" s="89"/>
      <c r="G882" s="89"/>
      <c r="H882" s="89"/>
      <c r="I882" s="89"/>
      <c r="J882" s="89"/>
      <c r="K882" s="89"/>
      <c r="L882" s="89"/>
      <c r="M882" s="89"/>
      <c r="N882" s="90"/>
      <c r="O882" s="90"/>
      <c r="P882" s="90"/>
      <c r="Q882" s="89"/>
    </row>
    <row r="883" spans="1:17" ht="15.75" customHeight="1" x14ac:dyDescent="0.25">
      <c r="A883" s="89"/>
      <c r="B883" s="89"/>
      <c r="C883" s="89"/>
      <c r="D883" s="89"/>
      <c r="E883" s="89"/>
      <c r="F883" s="89"/>
      <c r="G883" s="89"/>
      <c r="H883" s="89"/>
      <c r="I883" s="89"/>
      <c r="J883" s="89"/>
      <c r="K883" s="89"/>
      <c r="L883" s="89"/>
      <c r="M883" s="89"/>
      <c r="N883" s="90"/>
      <c r="O883" s="90"/>
      <c r="P883" s="90"/>
      <c r="Q883" s="89"/>
    </row>
    <row r="884" spans="1:17" ht="15.75" customHeight="1" x14ac:dyDescent="0.25">
      <c r="A884" s="89"/>
      <c r="B884" s="89"/>
      <c r="C884" s="89"/>
      <c r="D884" s="89"/>
      <c r="E884" s="89"/>
      <c r="F884" s="89"/>
      <c r="G884" s="89"/>
      <c r="H884" s="89"/>
      <c r="I884" s="89"/>
      <c r="J884" s="89"/>
      <c r="K884" s="89"/>
      <c r="L884" s="89"/>
      <c r="M884" s="89"/>
      <c r="N884" s="90"/>
      <c r="O884" s="90"/>
      <c r="P884" s="90"/>
      <c r="Q884" s="89"/>
    </row>
    <row r="885" spans="1:17" ht="15.75" customHeight="1" x14ac:dyDescent="0.25">
      <c r="A885" s="89"/>
      <c r="B885" s="89"/>
      <c r="C885" s="89"/>
      <c r="D885" s="89"/>
      <c r="E885" s="89"/>
      <c r="F885" s="89"/>
      <c r="G885" s="89"/>
      <c r="H885" s="89"/>
      <c r="I885" s="89"/>
      <c r="J885" s="89"/>
      <c r="K885" s="89"/>
      <c r="L885" s="89"/>
      <c r="M885" s="89"/>
      <c r="N885" s="90"/>
      <c r="O885" s="90"/>
      <c r="P885" s="90"/>
      <c r="Q885" s="89"/>
    </row>
    <row r="886" spans="1:17" ht="15.75" customHeight="1" x14ac:dyDescent="0.25">
      <c r="A886" s="89"/>
      <c r="B886" s="89"/>
      <c r="C886" s="89"/>
      <c r="D886" s="89"/>
      <c r="E886" s="89"/>
      <c r="F886" s="89"/>
      <c r="G886" s="89"/>
      <c r="H886" s="89"/>
      <c r="I886" s="89"/>
      <c r="J886" s="89"/>
      <c r="K886" s="89"/>
      <c r="L886" s="89"/>
      <c r="M886" s="89"/>
      <c r="N886" s="90"/>
      <c r="O886" s="90"/>
      <c r="P886" s="90"/>
      <c r="Q886" s="89"/>
    </row>
    <row r="887" spans="1:17" ht="15.75" customHeight="1" x14ac:dyDescent="0.25">
      <c r="A887" s="89"/>
      <c r="B887" s="89"/>
      <c r="C887" s="89"/>
      <c r="D887" s="89"/>
      <c r="E887" s="89"/>
      <c r="F887" s="89"/>
      <c r="G887" s="89"/>
      <c r="H887" s="89"/>
      <c r="I887" s="89"/>
      <c r="J887" s="89"/>
      <c r="K887" s="89"/>
      <c r="L887" s="89"/>
      <c r="M887" s="89"/>
      <c r="N887" s="90"/>
      <c r="O887" s="90"/>
      <c r="P887" s="90"/>
      <c r="Q887" s="89"/>
    </row>
    <row r="888" spans="1:17" ht="15.75" customHeight="1" x14ac:dyDescent="0.25">
      <c r="A888" s="89"/>
      <c r="B888" s="89"/>
      <c r="C888" s="89"/>
      <c r="D888" s="89"/>
      <c r="E888" s="89"/>
      <c r="F888" s="89"/>
      <c r="G888" s="89"/>
      <c r="H888" s="89"/>
      <c r="I888" s="89"/>
      <c r="J888" s="89"/>
      <c r="K888" s="89"/>
      <c r="L888" s="89"/>
      <c r="M888" s="89"/>
      <c r="N888" s="90"/>
      <c r="O888" s="90"/>
      <c r="P888" s="90"/>
      <c r="Q888" s="89"/>
    </row>
    <row r="889" spans="1:17" ht="15.75" customHeight="1" x14ac:dyDescent="0.25">
      <c r="A889" s="89"/>
      <c r="B889" s="89"/>
      <c r="C889" s="89"/>
      <c r="D889" s="89"/>
      <c r="E889" s="89"/>
      <c r="F889" s="89"/>
      <c r="G889" s="89"/>
      <c r="H889" s="89"/>
      <c r="I889" s="89"/>
      <c r="J889" s="89"/>
      <c r="K889" s="89"/>
      <c r="L889" s="89"/>
      <c r="M889" s="89"/>
      <c r="N889" s="90"/>
      <c r="O889" s="90"/>
      <c r="P889" s="90"/>
      <c r="Q889" s="89"/>
    </row>
    <row r="890" spans="1:17" ht="15.75" customHeight="1" x14ac:dyDescent="0.25">
      <c r="A890" s="89"/>
      <c r="B890" s="89"/>
      <c r="C890" s="89"/>
      <c r="D890" s="89"/>
      <c r="E890" s="89"/>
      <c r="F890" s="89"/>
      <c r="G890" s="89"/>
      <c r="H890" s="89"/>
      <c r="I890" s="89"/>
      <c r="J890" s="89"/>
      <c r="K890" s="89"/>
      <c r="L890" s="89"/>
      <c r="M890" s="89"/>
      <c r="N890" s="90"/>
      <c r="O890" s="90"/>
      <c r="P890" s="90"/>
      <c r="Q890" s="89"/>
    </row>
    <row r="891" spans="1:17" ht="15.75" customHeight="1" x14ac:dyDescent="0.25">
      <c r="A891" s="89"/>
      <c r="B891" s="89"/>
      <c r="C891" s="89"/>
      <c r="D891" s="89"/>
      <c r="E891" s="89"/>
      <c r="F891" s="89"/>
      <c r="G891" s="89"/>
      <c r="H891" s="89"/>
      <c r="I891" s="89"/>
      <c r="J891" s="89"/>
      <c r="K891" s="89"/>
      <c r="L891" s="89"/>
      <c r="M891" s="89"/>
      <c r="N891" s="90"/>
      <c r="O891" s="90"/>
      <c r="P891" s="90"/>
      <c r="Q891" s="89"/>
    </row>
    <row r="892" spans="1:17" ht="15.75" customHeight="1" x14ac:dyDescent="0.25">
      <c r="A892" s="89"/>
      <c r="B892" s="89"/>
      <c r="C892" s="89"/>
      <c r="D892" s="89"/>
      <c r="E892" s="89"/>
      <c r="F892" s="89"/>
      <c r="G892" s="89"/>
      <c r="H892" s="89"/>
      <c r="I892" s="89"/>
      <c r="J892" s="89"/>
      <c r="K892" s="89"/>
      <c r="L892" s="89"/>
      <c r="M892" s="89"/>
      <c r="N892" s="90"/>
      <c r="O892" s="90"/>
      <c r="P892" s="90"/>
      <c r="Q892" s="89"/>
    </row>
    <row r="893" spans="1:17" ht="15.75" customHeight="1" x14ac:dyDescent="0.25">
      <c r="A893" s="89"/>
      <c r="B893" s="89"/>
      <c r="C893" s="89"/>
      <c r="D893" s="89"/>
      <c r="E893" s="89"/>
      <c r="F893" s="89"/>
      <c r="G893" s="89"/>
      <c r="H893" s="89"/>
      <c r="I893" s="89"/>
      <c r="J893" s="89"/>
      <c r="K893" s="89"/>
      <c r="L893" s="89"/>
      <c r="M893" s="89"/>
      <c r="N893" s="90"/>
      <c r="O893" s="90"/>
      <c r="P893" s="90"/>
      <c r="Q893" s="89"/>
    </row>
    <row r="894" spans="1:17" ht="15.75" customHeight="1" x14ac:dyDescent="0.25">
      <c r="A894" s="89"/>
      <c r="B894" s="89"/>
      <c r="C894" s="89"/>
      <c r="D894" s="89"/>
      <c r="E894" s="89"/>
      <c r="F894" s="89"/>
      <c r="G894" s="89"/>
      <c r="H894" s="89"/>
      <c r="I894" s="89"/>
      <c r="J894" s="89"/>
      <c r="K894" s="89"/>
      <c r="L894" s="89"/>
      <c r="M894" s="89"/>
      <c r="N894" s="90"/>
      <c r="O894" s="90"/>
      <c r="P894" s="90"/>
      <c r="Q894" s="89"/>
    </row>
    <row r="895" spans="1:17" ht="15.75" customHeight="1" x14ac:dyDescent="0.25">
      <c r="A895" s="89"/>
      <c r="B895" s="89"/>
      <c r="C895" s="89"/>
      <c r="D895" s="89"/>
      <c r="E895" s="89"/>
      <c r="F895" s="89"/>
      <c r="G895" s="89"/>
      <c r="H895" s="89"/>
      <c r="I895" s="89"/>
      <c r="J895" s="89"/>
      <c r="K895" s="89"/>
      <c r="L895" s="89"/>
      <c r="M895" s="89"/>
      <c r="N895" s="90"/>
      <c r="O895" s="90"/>
      <c r="P895" s="90"/>
      <c r="Q895" s="89"/>
    </row>
    <row r="896" spans="1:17" ht="15.75" customHeight="1" x14ac:dyDescent="0.25">
      <c r="A896" s="89"/>
      <c r="B896" s="89"/>
      <c r="C896" s="89"/>
      <c r="D896" s="89"/>
      <c r="E896" s="89"/>
      <c r="F896" s="89"/>
      <c r="G896" s="89"/>
      <c r="H896" s="89"/>
      <c r="I896" s="89"/>
      <c r="J896" s="89"/>
      <c r="K896" s="89"/>
      <c r="L896" s="89"/>
      <c r="M896" s="89"/>
      <c r="N896" s="90"/>
      <c r="O896" s="90"/>
      <c r="P896" s="90"/>
      <c r="Q896" s="89"/>
    </row>
    <row r="897" spans="1:17" ht="15.75" customHeight="1" x14ac:dyDescent="0.25">
      <c r="A897" s="89"/>
      <c r="B897" s="89"/>
      <c r="C897" s="89"/>
      <c r="D897" s="89"/>
      <c r="E897" s="89"/>
      <c r="F897" s="89"/>
      <c r="G897" s="89"/>
      <c r="H897" s="89"/>
      <c r="I897" s="89"/>
      <c r="J897" s="89"/>
      <c r="K897" s="89"/>
      <c r="L897" s="89"/>
      <c r="M897" s="89"/>
      <c r="N897" s="90"/>
      <c r="O897" s="90"/>
      <c r="P897" s="90"/>
      <c r="Q897" s="89"/>
    </row>
    <row r="898" spans="1:17" ht="15.75" customHeight="1" x14ac:dyDescent="0.25">
      <c r="A898" s="89"/>
      <c r="B898" s="89"/>
      <c r="C898" s="89"/>
      <c r="D898" s="89"/>
      <c r="E898" s="89"/>
      <c r="F898" s="89"/>
      <c r="G898" s="89"/>
      <c r="H898" s="89"/>
      <c r="I898" s="89"/>
      <c r="J898" s="89"/>
      <c r="K898" s="89"/>
      <c r="L898" s="89"/>
      <c r="M898" s="89"/>
      <c r="N898" s="90"/>
      <c r="O898" s="90"/>
      <c r="P898" s="90"/>
      <c r="Q898" s="89"/>
    </row>
    <row r="899" spans="1:17" ht="15.75" customHeight="1" x14ac:dyDescent="0.25">
      <c r="A899" s="89"/>
      <c r="B899" s="89"/>
      <c r="C899" s="89"/>
      <c r="D899" s="89"/>
      <c r="E899" s="89"/>
      <c r="F899" s="89"/>
      <c r="G899" s="89"/>
      <c r="H899" s="89"/>
      <c r="I899" s="89"/>
      <c r="J899" s="89"/>
      <c r="K899" s="89"/>
      <c r="L899" s="89"/>
      <c r="M899" s="89"/>
      <c r="N899" s="90"/>
      <c r="O899" s="90"/>
      <c r="P899" s="90"/>
      <c r="Q899" s="89"/>
    </row>
    <row r="900" spans="1:17" ht="15.75" customHeight="1" x14ac:dyDescent="0.25">
      <c r="A900" s="89"/>
      <c r="B900" s="89"/>
      <c r="C900" s="89"/>
      <c r="D900" s="89"/>
      <c r="E900" s="89"/>
      <c r="F900" s="89"/>
      <c r="G900" s="89"/>
      <c r="H900" s="89"/>
      <c r="I900" s="89"/>
      <c r="J900" s="89"/>
      <c r="K900" s="89"/>
      <c r="L900" s="89"/>
      <c r="M900" s="89"/>
      <c r="N900" s="90"/>
      <c r="O900" s="90"/>
      <c r="P900" s="90"/>
      <c r="Q900" s="89"/>
    </row>
    <row r="901" spans="1:17" ht="15.75" customHeight="1" x14ac:dyDescent="0.25">
      <c r="A901" s="89"/>
      <c r="B901" s="89"/>
      <c r="C901" s="89"/>
      <c r="D901" s="89"/>
      <c r="E901" s="89"/>
      <c r="F901" s="89"/>
      <c r="G901" s="89"/>
      <c r="H901" s="89"/>
      <c r="I901" s="89"/>
      <c r="J901" s="89"/>
      <c r="K901" s="89"/>
      <c r="L901" s="89"/>
      <c r="M901" s="89"/>
      <c r="N901" s="90"/>
      <c r="O901" s="90"/>
      <c r="P901" s="90"/>
      <c r="Q901" s="89"/>
    </row>
    <row r="902" spans="1:17" ht="15.75" customHeight="1" x14ac:dyDescent="0.25">
      <c r="A902" s="89"/>
      <c r="B902" s="89"/>
      <c r="C902" s="89"/>
      <c r="D902" s="89"/>
      <c r="E902" s="89"/>
      <c r="F902" s="89"/>
      <c r="G902" s="89"/>
      <c r="H902" s="89"/>
      <c r="I902" s="89"/>
      <c r="J902" s="89"/>
      <c r="K902" s="89"/>
      <c r="L902" s="89"/>
      <c r="M902" s="89"/>
      <c r="N902" s="90"/>
      <c r="O902" s="90"/>
      <c r="P902" s="90"/>
      <c r="Q902" s="89"/>
    </row>
    <row r="903" spans="1:17" ht="15.75" customHeight="1" x14ac:dyDescent="0.25">
      <c r="A903" s="89"/>
      <c r="B903" s="89"/>
      <c r="C903" s="89"/>
      <c r="D903" s="89"/>
      <c r="E903" s="89"/>
      <c r="F903" s="89"/>
      <c r="G903" s="89"/>
      <c r="H903" s="89"/>
      <c r="I903" s="89"/>
      <c r="J903" s="89"/>
      <c r="K903" s="89"/>
      <c r="L903" s="89"/>
      <c r="M903" s="89"/>
      <c r="N903" s="90"/>
      <c r="O903" s="90"/>
      <c r="P903" s="90"/>
      <c r="Q903" s="89"/>
    </row>
    <row r="904" spans="1:17" ht="15.75" customHeight="1" x14ac:dyDescent="0.25">
      <c r="A904" s="89"/>
      <c r="B904" s="89"/>
      <c r="C904" s="89"/>
      <c r="D904" s="89"/>
      <c r="E904" s="89"/>
      <c r="F904" s="89"/>
      <c r="G904" s="89"/>
      <c r="H904" s="89"/>
      <c r="I904" s="89"/>
      <c r="J904" s="89"/>
      <c r="K904" s="89"/>
      <c r="L904" s="89"/>
      <c r="M904" s="89"/>
      <c r="N904" s="90"/>
      <c r="O904" s="90"/>
      <c r="P904" s="90"/>
      <c r="Q904" s="89"/>
    </row>
    <row r="905" spans="1:17" ht="15.75" customHeight="1" x14ac:dyDescent="0.25">
      <c r="A905" s="89"/>
      <c r="B905" s="89"/>
      <c r="C905" s="89"/>
      <c r="D905" s="89"/>
      <c r="E905" s="89"/>
      <c r="F905" s="89"/>
      <c r="G905" s="89"/>
      <c r="H905" s="89"/>
      <c r="I905" s="89"/>
      <c r="J905" s="89"/>
      <c r="K905" s="89"/>
      <c r="L905" s="89"/>
      <c r="M905" s="89"/>
      <c r="N905" s="90"/>
      <c r="O905" s="90"/>
      <c r="P905" s="90"/>
      <c r="Q905" s="89"/>
    </row>
    <row r="906" spans="1:17" ht="15.75" customHeight="1" x14ac:dyDescent="0.25">
      <c r="A906" s="89"/>
      <c r="B906" s="89"/>
      <c r="C906" s="89"/>
      <c r="D906" s="89"/>
      <c r="E906" s="89"/>
      <c r="F906" s="89"/>
      <c r="G906" s="89"/>
      <c r="H906" s="89"/>
      <c r="I906" s="89"/>
      <c r="J906" s="89"/>
      <c r="K906" s="89"/>
      <c r="L906" s="89"/>
      <c r="M906" s="89"/>
      <c r="N906" s="90"/>
      <c r="O906" s="90"/>
      <c r="P906" s="90"/>
      <c r="Q906" s="89"/>
    </row>
    <row r="907" spans="1:17" ht="15.75" customHeight="1" x14ac:dyDescent="0.25">
      <c r="A907" s="89"/>
      <c r="B907" s="89"/>
      <c r="C907" s="89"/>
      <c r="D907" s="89"/>
      <c r="E907" s="89"/>
      <c r="F907" s="89"/>
      <c r="G907" s="89"/>
      <c r="H907" s="89"/>
      <c r="I907" s="89"/>
      <c r="J907" s="89"/>
      <c r="K907" s="89"/>
      <c r="L907" s="89"/>
      <c r="M907" s="89"/>
      <c r="N907" s="90"/>
      <c r="O907" s="90"/>
      <c r="P907" s="90"/>
      <c r="Q907" s="89"/>
    </row>
    <row r="908" spans="1:17" ht="15.75" customHeight="1" x14ac:dyDescent="0.25">
      <c r="A908" s="89"/>
      <c r="B908" s="89"/>
      <c r="C908" s="89"/>
      <c r="D908" s="89"/>
      <c r="E908" s="89"/>
      <c r="F908" s="89"/>
      <c r="G908" s="89"/>
      <c r="H908" s="89"/>
      <c r="I908" s="89"/>
      <c r="J908" s="89"/>
      <c r="K908" s="89"/>
      <c r="L908" s="89"/>
      <c r="M908" s="89"/>
      <c r="N908" s="90"/>
      <c r="O908" s="90"/>
      <c r="P908" s="90"/>
      <c r="Q908" s="89"/>
    </row>
    <row r="909" spans="1:17" ht="15.75" customHeight="1" x14ac:dyDescent="0.25">
      <c r="A909" s="89"/>
      <c r="B909" s="89"/>
      <c r="C909" s="89"/>
      <c r="D909" s="89"/>
      <c r="E909" s="89"/>
      <c r="F909" s="89"/>
      <c r="G909" s="89"/>
      <c r="H909" s="89"/>
      <c r="I909" s="89"/>
      <c r="J909" s="89"/>
      <c r="K909" s="89"/>
      <c r="L909" s="89"/>
      <c r="M909" s="89"/>
      <c r="N909" s="90"/>
      <c r="O909" s="90"/>
      <c r="P909" s="90"/>
      <c r="Q909" s="89"/>
    </row>
    <row r="910" spans="1:17" ht="15.75" customHeight="1" x14ac:dyDescent="0.25">
      <c r="A910" s="89"/>
      <c r="B910" s="89"/>
      <c r="C910" s="89"/>
      <c r="D910" s="89"/>
      <c r="E910" s="89"/>
      <c r="F910" s="89"/>
      <c r="G910" s="89"/>
      <c r="H910" s="89"/>
      <c r="I910" s="89"/>
      <c r="J910" s="89"/>
      <c r="K910" s="89"/>
      <c r="L910" s="89"/>
      <c r="M910" s="89"/>
      <c r="N910" s="90"/>
      <c r="O910" s="90"/>
      <c r="P910" s="90"/>
      <c r="Q910" s="89"/>
    </row>
    <row r="911" spans="1:17" ht="15.75" customHeight="1" x14ac:dyDescent="0.25">
      <c r="A911" s="89"/>
      <c r="B911" s="89"/>
      <c r="C911" s="89"/>
      <c r="D911" s="89"/>
      <c r="E911" s="89"/>
      <c r="F911" s="89"/>
      <c r="G911" s="89"/>
      <c r="H911" s="89"/>
      <c r="I911" s="89"/>
      <c r="J911" s="89"/>
      <c r="K911" s="89"/>
      <c r="L911" s="89"/>
      <c r="M911" s="89"/>
      <c r="N911" s="90"/>
      <c r="O911" s="90"/>
      <c r="P911" s="90"/>
      <c r="Q911" s="89"/>
    </row>
    <row r="912" spans="1:17" ht="15.75" customHeight="1" x14ac:dyDescent="0.25">
      <c r="A912" s="89"/>
      <c r="B912" s="89"/>
      <c r="C912" s="89"/>
      <c r="D912" s="89"/>
      <c r="E912" s="89"/>
      <c r="F912" s="89"/>
      <c r="G912" s="89"/>
      <c r="H912" s="89"/>
      <c r="I912" s="89"/>
      <c r="J912" s="89"/>
      <c r="K912" s="89"/>
      <c r="L912" s="89"/>
      <c r="M912" s="89"/>
      <c r="N912" s="90"/>
      <c r="O912" s="90"/>
      <c r="P912" s="90"/>
      <c r="Q912" s="89"/>
    </row>
    <row r="913" spans="1:17" ht="15.75" customHeight="1" x14ac:dyDescent="0.25">
      <c r="A913" s="89"/>
      <c r="B913" s="89"/>
      <c r="C913" s="89"/>
      <c r="D913" s="89"/>
      <c r="E913" s="89"/>
      <c r="F913" s="89"/>
      <c r="G913" s="89"/>
      <c r="H913" s="89"/>
      <c r="I913" s="89"/>
      <c r="J913" s="89"/>
      <c r="K913" s="89"/>
      <c r="L913" s="89"/>
      <c r="M913" s="89"/>
      <c r="N913" s="90"/>
      <c r="O913" s="90"/>
      <c r="P913" s="90"/>
      <c r="Q913" s="89"/>
    </row>
    <row r="914" spans="1:17" ht="15.75" customHeight="1" x14ac:dyDescent="0.25">
      <c r="A914" s="89"/>
      <c r="B914" s="89"/>
      <c r="C914" s="89"/>
      <c r="D914" s="89"/>
      <c r="E914" s="89"/>
      <c r="F914" s="89"/>
      <c r="G914" s="89"/>
      <c r="H914" s="89"/>
      <c r="I914" s="89"/>
      <c r="J914" s="89"/>
      <c r="K914" s="89"/>
      <c r="L914" s="89"/>
      <c r="M914" s="89"/>
      <c r="N914" s="90"/>
      <c r="O914" s="90"/>
      <c r="P914" s="90"/>
      <c r="Q914" s="89"/>
    </row>
    <row r="915" spans="1:17" ht="15.75" customHeight="1" x14ac:dyDescent="0.25">
      <c r="A915" s="89"/>
      <c r="B915" s="89"/>
      <c r="C915" s="89"/>
      <c r="D915" s="89"/>
      <c r="E915" s="89"/>
      <c r="F915" s="89"/>
      <c r="G915" s="89"/>
      <c r="H915" s="89"/>
      <c r="I915" s="89"/>
      <c r="J915" s="89"/>
      <c r="K915" s="89"/>
      <c r="L915" s="89"/>
      <c r="M915" s="89"/>
      <c r="N915" s="90"/>
      <c r="O915" s="90"/>
      <c r="P915" s="90"/>
      <c r="Q915" s="89"/>
    </row>
    <row r="916" spans="1:17" ht="15.75" customHeight="1" x14ac:dyDescent="0.25">
      <c r="A916" s="89"/>
      <c r="B916" s="89"/>
      <c r="C916" s="89"/>
      <c r="D916" s="89"/>
      <c r="E916" s="89"/>
      <c r="F916" s="89"/>
      <c r="G916" s="89"/>
      <c r="H916" s="89"/>
      <c r="I916" s="89"/>
      <c r="J916" s="89"/>
      <c r="K916" s="89"/>
      <c r="L916" s="89"/>
      <c r="M916" s="89"/>
      <c r="N916" s="90"/>
      <c r="O916" s="90"/>
      <c r="P916" s="90"/>
      <c r="Q916" s="89"/>
    </row>
    <row r="917" spans="1:17" ht="15.75" customHeight="1" x14ac:dyDescent="0.25">
      <c r="A917" s="89"/>
      <c r="B917" s="89"/>
      <c r="C917" s="89"/>
      <c r="D917" s="89"/>
      <c r="E917" s="89"/>
      <c r="F917" s="89"/>
      <c r="G917" s="89"/>
      <c r="H917" s="89"/>
      <c r="I917" s="89"/>
      <c r="J917" s="89"/>
      <c r="K917" s="89"/>
      <c r="L917" s="89"/>
      <c r="M917" s="89"/>
      <c r="N917" s="90"/>
      <c r="O917" s="90"/>
      <c r="P917" s="90"/>
      <c r="Q917" s="89"/>
    </row>
    <row r="918" spans="1:17" ht="15.75" customHeight="1" x14ac:dyDescent="0.25">
      <c r="A918" s="89"/>
      <c r="B918" s="89"/>
      <c r="C918" s="89"/>
      <c r="D918" s="89"/>
      <c r="E918" s="89"/>
      <c r="F918" s="89"/>
      <c r="G918" s="89"/>
      <c r="H918" s="89"/>
      <c r="I918" s="89"/>
      <c r="J918" s="89"/>
      <c r="K918" s="89"/>
      <c r="L918" s="89"/>
      <c r="M918" s="89"/>
      <c r="N918" s="90"/>
      <c r="O918" s="90"/>
      <c r="P918" s="90"/>
      <c r="Q918" s="89"/>
    </row>
    <row r="919" spans="1:17" ht="15.75" customHeight="1" x14ac:dyDescent="0.25">
      <c r="A919" s="89"/>
      <c r="B919" s="89"/>
      <c r="C919" s="89"/>
      <c r="D919" s="89"/>
      <c r="E919" s="89"/>
      <c r="F919" s="89"/>
      <c r="G919" s="89"/>
      <c r="H919" s="89"/>
      <c r="I919" s="89"/>
      <c r="J919" s="89"/>
      <c r="K919" s="89"/>
      <c r="L919" s="89"/>
      <c r="M919" s="89"/>
      <c r="N919" s="90"/>
      <c r="O919" s="90"/>
      <c r="P919" s="90"/>
      <c r="Q919" s="89"/>
    </row>
    <row r="920" spans="1:17" ht="15.75" customHeight="1" x14ac:dyDescent="0.25">
      <c r="A920" s="89"/>
      <c r="B920" s="89"/>
      <c r="C920" s="89"/>
      <c r="D920" s="89"/>
      <c r="E920" s="89"/>
      <c r="F920" s="89"/>
      <c r="G920" s="89"/>
      <c r="H920" s="89"/>
      <c r="I920" s="89"/>
      <c r="J920" s="89"/>
      <c r="K920" s="89"/>
      <c r="L920" s="89"/>
      <c r="M920" s="89"/>
      <c r="N920" s="90"/>
      <c r="O920" s="90"/>
      <c r="P920" s="90"/>
      <c r="Q920" s="89"/>
    </row>
    <row r="921" spans="1:17" ht="15.75" customHeight="1" x14ac:dyDescent="0.25">
      <c r="A921" s="89"/>
      <c r="B921" s="89"/>
      <c r="C921" s="89"/>
      <c r="D921" s="89"/>
      <c r="E921" s="89"/>
      <c r="F921" s="89"/>
      <c r="G921" s="89"/>
      <c r="H921" s="89"/>
      <c r="I921" s="89"/>
      <c r="J921" s="89"/>
      <c r="K921" s="89"/>
      <c r="L921" s="89"/>
      <c r="M921" s="89"/>
      <c r="N921" s="90"/>
      <c r="O921" s="90"/>
      <c r="P921" s="90"/>
      <c r="Q921" s="89"/>
    </row>
    <row r="922" spans="1:17" ht="15.75" customHeight="1" x14ac:dyDescent="0.25">
      <c r="A922" s="89"/>
      <c r="B922" s="89"/>
      <c r="C922" s="89"/>
      <c r="D922" s="89"/>
      <c r="E922" s="89"/>
      <c r="F922" s="89"/>
      <c r="G922" s="89"/>
      <c r="H922" s="89"/>
      <c r="I922" s="89"/>
      <c r="J922" s="89"/>
      <c r="K922" s="89"/>
      <c r="L922" s="89"/>
      <c r="M922" s="89"/>
      <c r="N922" s="90"/>
      <c r="O922" s="90"/>
      <c r="P922" s="90"/>
      <c r="Q922" s="89"/>
    </row>
    <row r="923" spans="1:17" ht="15.75" customHeight="1" x14ac:dyDescent="0.25">
      <c r="A923" s="89"/>
      <c r="B923" s="89"/>
      <c r="C923" s="89"/>
      <c r="D923" s="89"/>
      <c r="E923" s="89"/>
      <c r="F923" s="89"/>
      <c r="G923" s="89"/>
      <c r="H923" s="89"/>
      <c r="I923" s="89"/>
      <c r="J923" s="89"/>
      <c r="K923" s="89"/>
      <c r="L923" s="89"/>
      <c r="M923" s="89"/>
      <c r="N923" s="90"/>
      <c r="O923" s="90"/>
      <c r="P923" s="90"/>
      <c r="Q923" s="89"/>
    </row>
    <row r="924" spans="1:17" ht="15.75" customHeight="1" x14ac:dyDescent="0.25">
      <c r="A924" s="89"/>
      <c r="B924" s="89"/>
      <c r="C924" s="89"/>
      <c r="D924" s="89"/>
      <c r="E924" s="89"/>
      <c r="F924" s="89"/>
      <c r="G924" s="89"/>
      <c r="H924" s="89"/>
      <c r="I924" s="89"/>
      <c r="J924" s="89"/>
      <c r="K924" s="89"/>
      <c r="L924" s="89"/>
      <c r="M924" s="89"/>
      <c r="N924" s="90"/>
      <c r="O924" s="90"/>
      <c r="P924" s="90"/>
      <c r="Q924" s="89"/>
    </row>
    <row r="925" spans="1:17" ht="15.75" customHeight="1" x14ac:dyDescent="0.25">
      <c r="A925" s="89"/>
      <c r="B925" s="89"/>
      <c r="C925" s="89"/>
      <c r="D925" s="89"/>
      <c r="E925" s="89"/>
      <c r="F925" s="89"/>
      <c r="G925" s="89"/>
      <c r="H925" s="89"/>
      <c r="I925" s="89"/>
      <c r="J925" s="89"/>
      <c r="K925" s="89"/>
      <c r="L925" s="89"/>
      <c r="M925" s="89"/>
      <c r="N925" s="90"/>
      <c r="O925" s="90"/>
      <c r="P925" s="90"/>
      <c r="Q925" s="89"/>
    </row>
    <row r="926" spans="1:17" ht="15.75" customHeight="1" x14ac:dyDescent="0.25">
      <c r="A926" s="89"/>
      <c r="B926" s="89"/>
      <c r="C926" s="89"/>
      <c r="D926" s="89"/>
      <c r="E926" s="89"/>
      <c r="F926" s="89"/>
      <c r="G926" s="89"/>
      <c r="H926" s="89"/>
      <c r="I926" s="89"/>
      <c r="J926" s="89"/>
      <c r="K926" s="89"/>
      <c r="L926" s="89"/>
      <c r="M926" s="89"/>
      <c r="N926" s="90"/>
      <c r="O926" s="90"/>
      <c r="P926" s="90"/>
      <c r="Q926" s="89"/>
    </row>
    <row r="927" spans="1:17" ht="15.75" customHeight="1" x14ac:dyDescent="0.25">
      <c r="A927" s="89"/>
      <c r="B927" s="89"/>
      <c r="C927" s="89"/>
      <c r="D927" s="89"/>
      <c r="E927" s="89"/>
      <c r="F927" s="89"/>
      <c r="G927" s="89"/>
      <c r="H927" s="89"/>
      <c r="I927" s="89"/>
      <c r="J927" s="89"/>
      <c r="K927" s="89"/>
      <c r="L927" s="89"/>
      <c r="M927" s="89"/>
      <c r="N927" s="90"/>
      <c r="O927" s="90"/>
      <c r="P927" s="90"/>
      <c r="Q927" s="89"/>
    </row>
    <row r="928" spans="1:17" ht="15.75" customHeight="1" x14ac:dyDescent="0.25">
      <c r="A928" s="89"/>
      <c r="B928" s="89"/>
      <c r="C928" s="89"/>
      <c r="D928" s="89"/>
      <c r="E928" s="89"/>
      <c r="F928" s="89"/>
      <c r="G928" s="89"/>
      <c r="H928" s="89"/>
      <c r="I928" s="89"/>
      <c r="J928" s="89"/>
      <c r="K928" s="89"/>
      <c r="L928" s="89"/>
      <c r="M928" s="89"/>
      <c r="N928" s="90"/>
      <c r="O928" s="90"/>
      <c r="P928" s="90"/>
      <c r="Q928" s="89"/>
    </row>
    <row r="929" spans="1:17" ht="15.75" customHeight="1" x14ac:dyDescent="0.25">
      <c r="A929" s="89"/>
      <c r="B929" s="89"/>
      <c r="C929" s="89"/>
      <c r="D929" s="89"/>
      <c r="E929" s="89"/>
      <c r="F929" s="89"/>
      <c r="G929" s="89"/>
      <c r="H929" s="89"/>
      <c r="I929" s="89"/>
      <c r="J929" s="89"/>
      <c r="K929" s="89"/>
      <c r="L929" s="89"/>
      <c r="M929" s="89"/>
      <c r="N929" s="90"/>
      <c r="O929" s="90"/>
      <c r="P929" s="90"/>
      <c r="Q929" s="89"/>
    </row>
    <row r="930" spans="1:17" ht="15.75" customHeight="1" x14ac:dyDescent="0.25">
      <c r="A930" s="89"/>
      <c r="B930" s="89"/>
      <c r="C930" s="89"/>
      <c r="D930" s="89"/>
      <c r="E930" s="89"/>
      <c r="F930" s="89"/>
      <c r="G930" s="89"/>
      <c r="H930" s="89"/>
      <c r="I930" s="89"/>
      <c r="J930" s="89"/>
      <c r="K930" s="89"/>
      <c r="L930" s="89"/>
      <c r="M930" s="89"/>
      <c r="N930" s="90"/>
      <c r="O930" s="90"/>
      <c r="P930" s="90"/>
      <c r="Q930" s="89"/>
    </row>
    <row r="931" spans="1:17" ht="15.75" customHeight="1" x14ac:dyDescent="0.25">
      <c r="A931" s="89"/>
      <c r="B931" s="89"/>
      <c r="C931" s="89"/>
      <c r="D931" s="89"/>
      <c r="E931" s="89"/>
      <c r="F931" s="89"/>
      <c r="G931" s="89"/>
      <c r="H931" s="89"/>
      <c r="I931" s="89"/>
      <c r="J931" s="89"/>
      <c r="K931" s="89"/>
      <c r="L931" s="89"/>
      <c r="M931" s="89"/>
      <c r="N931" s="90"/>
      <c r="O931" s="90"/>
      <c r="P931" s="90"/>
      <c r="Q931" s="89"/>
    </row>
    <row r="932" spans="1:17" ht="15.75" customHeight="1" x14ac:dyDescent="0.25">
      <c r="A932" s="89"/>
      <c r="B932" s="89"/>
      <c r="C932" s="89"/>
      <c r="D932" s="89"/>
      <c r="E932" s="89"/>
      <c r="F932" s="89"/>
      <c r="G932" s="89"/>
      <c r="H932" s="89"/>
      <c r="I932" s="89"/>
      <c r="J932" s="89"/>
      <c r="K932" s="89"/>
      <c r="L932" s="89"/>
      <c r="M932" s="89"/>
      <c r="N932" s="90"/>
      <c r="O932" s="90"/>
      <c r="P932" s="90"/>
      <c r="Q932" s="89"/>
    </row>
    <row r="933" spans="1:17" ht="15.75" customHeight="1" x14ac:dyDescent="0.25">
      <c r="A933" s="89"/>
      <c r="B933" s="89"/>
      <c r="C933" s="89"/>
      <c r="D933" s="89"/>
      <c r="E933" s="89"/>
      <c r="F933" s="89"/>
      <c r="G933" s="89"/>
      <c r="H933" s="89"/>
      <c r="I933" s="89"/>
      <c r="J933" s="89"/>
      <c r="K933" s="89"/>
      <c r="L933" s="89"/>
      <c r="M933" s="89"/>
      <c r="N933" s="90"/>
      <c r="O933" s="90"/>
      <c r="P933" s="90"/>
      <c r="Q933" s="89"/>
    </row>
    <row r="934" spans="1:17" ht="15.75" customHeight="1" x14ac:dyDescent="0.25">
      <c r="A934" s="89"/>
      <c r="B934" s="89"/>
      <c r="C934" s="89"/>
      <c r="D934" s="89"/>
      <c r="E934" s="89"/>
      <c r="F934" s="89"/>
      <c r="G934" s="89"/>
      <c r="H934" s="89"/>
      <c r="I934" s="89"/>
      <c r="J934" s="89"/>
      <c r="K934" s="89"/>
      <c r="L934" s="89"/>
      <c r="M934" s="89"/>
      <c r="N934" s="90"/>
      <c r="O934" s="90"/>
      <c r="P934" s="90"/>
      <c r="Q934" s="89"/>
    </row>
    <row r="935" spans="1:17" ht="15.75" customHeight="1" x14ac:dyDescent="0.25">
      <c r="A935" s="89"/>
      <c r="B935" s="89"/>
      <c r="C935" s="89"/>
      <c r="D935" s="89"/>
      <c r="E935" s="89"/>
      <c r="F935" s="89"/>
      <c r="G935" s="89"/>
      <c r="H935" s="89"/>
      <c r="I935" s="89"/>
      <c r="J935" s="89"/>
      <c r="K935" s="89"/>
      <c r="L935" s="89"/>
      <c r="M935" s="89"/>
      <c r="N935" s="90"/>
      <c r="O935" s="90"/>
      <c r="P935" s="90"/>
      <c r="Q935" s="89"/>
    </row>
    <row r="936" spans="1:17" ht="15.75" customHeight="1" x14ac:dyDescent="0.25">
      <c r="A936" s="89"/>
      <c r="B936" s="89"/>
      <c r="C936" s="89"/>
      <c r="D936" s="89"/>
      <c r="E936" s="89"/>
      <c r="F936" s="89"/>
      <c r="G936" s="89"/>
      <c r="H936" s="89"/>
      <c r="I936" s="89"/>
      <c r="J936" s="89"/>
      <c r="K936" s="89"/>
      <c r="L936" s="89"/>
      <c r="M936" s="89"/>
      <c r="N936" s="90"/>
      <c r="O936" s="90"/>
      <c r="P936" s="90"/>
      <c r="Q936" s="89"/>
    </row>
    <row r="937" spans="1:17" ht="15.75" customHeight="1" x14ac:dyDescent="0.25">
      <c r="A937" s="89"/>
      <c r="B937" s="89"/>
      <c r="C937" s="89"/>
      <c r="D937" s="89"/>
      <c r="E937" s="89"/>
      <c r="F937" s="89"/>
      <c r="G937" s="89"/>
      <c r="H937" s="89"/>
      <c r="I937" s="89"/>
      <c r="J937" s="89"/>
      <c r="K937" s="89"/>
      <c r="L937" s="89"/>
      <c r="M937" s="89"/>
      <c r="N937" s="90"/>
      <c r="O937" s="90"/>
      <c r="P937" s="90"/>
      <c r="Q937" s="89"/>
    </row>
    <row r="938" spans="1:17" ht="15.75" customHeight="1" x14ac:dyDescent="0.25">
      <c r="A938" s="89"/>
      <c r="B938" s="89"/>
      <c r="C938" s="89"/>
      <c r="D938" s="89"/>
      <c r="E938" s="89"/>
      <c r="F938" s="89"/>
      <c r="G938" s="89"/>
      <c r="H938" s="89"/>
      <c r="I938" s="89"/>
      <c r="J938" s="89"/>
      <c r="K938" s="89"/>
      <c r="L938" s="89"/>
      <c r="M938" s="89"/>
      <c r="N938" s="90"/>
      <c r="O938" s="90"/>
      <c r="P938" s="90"/>
      <c r="Q938" s="89"/>
    </row>
    <row r="939" spans="1:17" ht="15.75" customHeight="1" x14ac:dyDescent="0.25">
      <c r="A939" s="89"/>
      <c r="B939" s="89"/>
      <c r="C939" s="89"/>
      <c r="D939" s="89"/>
      <c r="E939" s="89"/>
      <c r="F939" s="89"/>
      <c r="G939" s="89"/>
      <c r="H939" s="89"/>
      <c r="I939" s="89"/>
      <c r="J939" s="89"/>
      <c r="K939" s="89"/>
      <c r="L939" s="89"/>
      <c r="M939" s="89"/>
      <c r="N939" s="90"/>
      <c r="O939" s="90"/>
      <c r="P939" s="90"/>
      <c r="Q939" s="89"/>
    </row>
    <row r="940" spans="1:17" ht="15.75" customHeight="1" x14ac:dyDescent="0.25">
      <c r="A940" s="89"/>
      <c r="B940" s="89"/>
      <c r="C940" s="89"/>
      <c r="D940" s="89"/>
      <c r="E940" s="89"/>
      <c r="F940" s="89"/>
      <c r="G940" s="89"/>
      <c r="H940" s="89"/>
      <c r="I940" s="89"/>
      <c r="J940" s="89"/>
      <c r="K940" s="89"/>
      <c r="L940" s="89"/>
      <c r="M940" s="89"/>
      <c r="N940" s="90"/>
      <c r="O940" s="90"/>
      <c r="P940" s="90"/>
      <c r="Q940" s="89"/>
    </row>
    <row r="941" spans="1:17" ht="15.75" customHeight="1" x14ac:dyDescent="0.25">
      <c r="A941" s="89"/>
      <c r="B941" s="89"/>
      <c r="C941" s="89"/>
      <c r="D941" s="89"/>
      <c r="E941" s="89"/>
      <c r="F941" s="89"/>
      <c r="G941" s="89"/>
      <c r="H941" s="89"/>
      <c r="I941" s="89"/>
      <c r="J941" s="89"/>
      <c r="K941" s="89"/>
      <c r="L941" s="89"/>
      <c r="M941" s="89"/>
      <c r="N941" s="90"/>
      <c r="O941" s="90"/>
      <c r="P941" s="90"/>
      <c r="Q941" s="89"/>
    </row>
    <row r="942" spans="1:17" ht="15.75" customHeight="1" x14ac:dyDescent="0.25">
      <c r="A942" s="89"/>
      <c r="B942" s="89"/>
      <c r="C942" s="89"/>
      <c r="D942" s="89"/>
      <c r="E942" s="89"/>
      <c r="F942" s="89"/>
      <c r="G942" s="89"/>
      <c r="H942" s="89"/>
      <c r="I942" s="89"/>
      <c r="J942" s="89"/>
      <c r="K942" s="89"/>
      <c r="L942" s="89"/>
      <c r="M942" s="89"/>
      <c r="N942" s="90"/>
      <c r="O942" s="90"/>
      <c r="P942" s="90"/>
      <c r="Q942" s="89"/>
    </row>
    <row r="943" spans="1:17" ht="15.75" customHeight="1" x14ac:dyDescent="0.25">
      <c r="A943" s="89"/>
      <c r="B943" s="89"/>
      <c r="C943" s="89"/>
      <c r="D943" s="89"/>
      <c r="E943" s="89"/>
      <c r="F943" s="89"/>
      <c r="G943" s="89"/>
      <c r="H943" s="89"/>
      <c r="I943" s="89"/>
      <c r="J943" s="89"/>
      <c r="K943" s="89"/>
      <c r="L943" s="89"/>
      <c r="M943" s="89"/>
      <c r="N943" s="90"/>
      <c r="O943" s="90"/>
      <c r="P943" s="90"/>
      <c r="Q943" s="89"/>
    </row>
    <row r="944" spans="1:17" ht="15.75" customHeight="1" x14ac:dyDescent="0.25">
      <c r="A944" s="89"/>
      <c r="B944" s="89"/>
      <c r="C944" s="89"/>
      <c r="D944" s="89"/>
      <c r="E944" s="89"/>
      <c r="F944" s="89"/>
      <c r="G944" s="89"/>
      <c r="H944" s="89"/>
      <c r="I944" s="89"/>
      <c r="J944" s="89"/>
      <c r="K944" s="89"/>
      <c r="L944" s="89"/>
      <c r="M944" s="89"/>
      <c r="N944" s="90"/>
      <c r="O944" s="90"/>
      <c r="P944" s="90"/>
      <c r="Q944" s="89"/>
    </row>
    <row r="945" spans="1:17" ht="15.75" customHeight="1" x14ac:dyDescent="0.25">
      <c r="A945" s="89"/>
      <c r="B945" s="89"/>
      <c r="C945" s="89"/>
      <c r="D945" s="89"/>
      <c r="E945" s="89"/>
      <c r="F945" s="89"/>
      <c r="G945" s="89"/>
      <c r="H945" s="89"/>
      <c r="I945" s="89"/>
      <c r="J945" s="89"/>
      <c r="K945" s="89"/>
      <c r="L945" s="89"/>
      <c r="M945" s="89"/>
      <c r="N945" s="90"/>
      <c r="O945" s="90"/>
      <c r="P945" s="90"/>
      <c r="Q945" s="89"/>
    </row>
    <row r="946" spans="1:17" ht="15.75" customHeight="1" x14ac:dyDescent="0.25">
      <c r="A946" s="89"/>
      <c r="B946" s="89"/>
      <c r="C946" s="89"/>
      <c r="D946" s="89"/>
      <c r="E946" s="89"/>
      <c r="F946" s="89"/>
      <c r="G946" s="89"/>
      <c r="H946" s="89"/>
      <c r="I946" s="89"/>
      <c r="J946" s="89"/>
      <c r="K946" s="89"/>
      <c r="L946" s="89"/>
      <c r="M946" s="89"/>
      <c r="N946" s="90"/>
      <c r="O946" s="90"/>
      <c r="P946" s="90"/>
      <c r="Q946" s="89"/>
    </row>
    <row r="947" spans="1:17" ht="15.75" customHeight="1" x14ac:dyDescent="0.25">
      <c r="A947" s="89"/>
      <c r="B947" s="89"/>
      <c r="C947" s="89"/>
      <c r="D947" s="89"/>
      <c r="E947" s="89"/>
      <c r="F947" s="89"/>
      <c r="G947" s="89"/>
      <c r="H947" s="89"/>
      <c r="I947" s="89"/>
      <c r="J947" s="89"/>
      <c r="K947" s="89"/>
      <c r="L947" s="89"/>
      <c r="M947" s="89"/>
      <c r="N947" s="90"/>
      <c r="O947" s="90"/>
      <c r="P947" s="90"/>
      <c r="Q947" s="89"/>
    </row>
    <row r="948" spans="1:17" ht="15.75" customHeight="1" x14ac:dyDescent="0.25">
      <c r="A948" s="89"/>
      <c r="B948" s="89"/>
      <c r="C948" s="89"/>
      <c r="D948" s="89"/>
      <c r="E948" s="89"/>
      <c r="F948" s="89"/>
      <c r="G948" s="89"/>
      <c r="H948" s="89"/>
      <c r="I948" s="89"/>
      <c r="J948" s="89"/>
      <c r="K948" s="89"/>
      <c r="L948" s="89"/>
      <c r="M948" s="89"/>
      <c r="N948" s="90"/>
      <c r="O948" s="90"/>
      <c r="P948" s="90"/>
      <c r="Q948" s="89"/>
    </row>
    <row r="949" spans="1:17" ht="15.75" customHeight="1" x14ac:dyDescent="0.25">
      <c r="A949" s="89"/>
      <c r="B949" s="89"/>
      <c r="C949" s="89"/>
      <c r="D949" s="89"/>
      <c r="E949" s="89"/>
      <c r="F949" s="89"/>
      <c r="G949" s="89"/>
      <c r="H949" s="89"/>
      <c r="I949" s="89"/>
      <c r="J949" s="89"/>
      <c r="K949" s="89"/>
      <c r="L949" s="89"/>
      <c r="M949" s="89"/>
      <c r="N949" s="90"/>
      <c r="O949" s="90"/>
      <c r="P949" s="90"/>
      <c r="Q949" s="89"/>
    </row>
    <row r="950" spans="1:17" ht="15.75" customHeight="1" x14ac:dyDescent="0.25">
      <c r="A950" s="89"/>
      <c r="B950" s="89"/>
      <c r="C950" s="89"/>
      <c r="D950" s="89"/>
      <c r="E950" s="89"/>
      <c r="F950" s="89"/>
      <c r="G950" s="89"/>
      <c r="H950" s="89"/>
      <c r="I950" s="89"/>
      <c r="J950" s="89"/>
      <c r="K950" s="89"/>
      <c r="L950" s="89"/>
      <c r="M950" s="89"/>
      <c r="N950" s="90"/>
      <c r="O950" s="90"/>
      <c r="P950" s="90"/>
      <c r="Q950" s="89"/>
    </row>
    <row r="951" spans="1:17" ht="15.75" customHeight="1" x14ac:dyDescent="0.25">
      <c r="A951" s="89"/>
      <c r="B951" s="89"/>
      <c r="C951" s="89"/>
      <c r="D951" s="89"/>
      <c r="E951" s="89"/>
      <c r="F951" s="89"/>
      <c r="G951" s="89"/>
      <c r="H951" s="89"/>
      <c r="I951" s="89"/>
      <c r="J951" s="89"/>
      <c r="K951" s="89"/>
      <c r="L951" s="89"/>
      <c r="M951" s="89"/>
      <c r="N951" s="90"/>
      <c r="O951" s="90"/>
      <c r="P951" s="90"/>
      <c r="Q951" s="89"/>
    </row>
    <row r="952" spans="1:17" ht="15.75" customHeight="1" x14ac:dyDescent="0.25">
      <c r="A952" s="89"/>
      <c r="B952" s="89"/>
      <c r="C952" s="89"/>
      <c r="D952" s="89"/>
      <c r="E952" s="89"/>
      <c r="F952" s="89"/>
      <c r="G952" s="89"/>
      <c r="H952" s="89"/>
      <c r="I952" s="89"/>
      <c r="J952" s="89"/>
      <c r="K952" s="89"/>
      <c r="L952" s="89"/>
      <c r="M952" s="89"/>
      <c r="N952" s="90"/>
      <c r="O952" s="90"/>
      <c r="P952" s="90"/>
      <c r="Q952" s="89"/>
    </row>
    <row r="953" spans="1:17" ht="15.75" customHeight="1" x14ac:dyDescent="0.25">
      <c r="A953" s="89"/>
      <c r="B953" s="89"/>
      <c r="C953" s="89"/>
      <c r="D953" s="89"/>
      <c r="E953" s="89"/>
      <c r="F953" s="89"/>
      <c r="G953" s="89"/>
      <c r="H953" s="89"/>
      <c r="I953" s="89"/>
      <c r="J953" s="89"/>
      <c r="K953" s="89"/>
      <c r="L953" s="89"/>
      <c r="M953" s="89"/>
      <c r="N953" s="90"/>
      <c r="O953" s="90"/>
      <c r="P953" s="90"/>
      <c r="Q953" s="89"/>
    </row>
    <row r="954" spans="1:17" ht="15.75" customHeight="1" x14ac:dyDescent="0.25">
      <c r="A954" s="89"/>
      <c r="B954" s="89"/>
      <c r="C954" s="89"/>
      <c r="D954" s="89"/>
      <c r="E954" s="89"/>
      <c r="F954" s="89"/>
      <c r="G954" s="89"/>
      <c r="H954" s="89"/>
      <c r="I954" s="89"/>
      <c r="J954" s="89"/>
      <c r="K954" s="89"/>
      <c r="L954" s="89"/>
      <c r="M954" s="89"/>
      <c r="N954" s="90"/>
      <c r="O954" s="90"/>
      <c r="P954" s="90"/>
      <c r="Q954" s="89"/>
    </row>
    <row r="955" spans="1:17" ht="15.75" customHeight="1" x14ac:dyDescent="0.25">
      <c r="A955" s="89"/>
      <c r="B955" s="89"/>
      <c r="C955" s="89"/>
      <c r="D955" s="89"/>
      <c r="E955" s="89"/>
      <c r="F955" s="89"/>
      <c r="G955" s="89"/>
      <c r="H955" s="89"/>
      <c r="I955" s="89"/>
      <c r="J955" s="89"/>
      <c r="K955" s="89"/>
      <c r="L955" s="89"/>
      <c r="M955" s="89"/>
      <c r="N955" s="90"/>
      <c r="O955" s="90"/>
      <c r="P955" s="90"/>
      <c r="Q955" s="89"/>
    </row>
    <row r="956" spans="1:17" ht="15.75" customHeight="1" x14ac:dyDescent="0.25">
      <c r="A956" s="89"/>
      <c r="B956" s="89"/>
      <c r="C956" s="89"/>
      <c r="D956" s="89"/>
      <c r="E956" s="89"/>
      <c r="F956" s="89"/>
      <c r="G956" s="89"/>
      <c r="H956" s="89"/>
      <c r="I956" s="89"/>
      <c r="J956" s="89"/>
      <c r="K956" s="89"/>
      <c r="L956" s="89"/>
      <c r="M956" s="89"/>
      <c r="N956" s="90"/>
      <c r="O956" s="90"/>
      <c r="P956" s="90"/>
      <c r="Q956" s="89"/>
    </row>
    <row r="957" spans="1:17" ht="15.75" customHeight="1" x14ac:dyDescent="0.25">
      <c r="A957" s="89"/>
      <c r="B957" s="89"/>
      <c r="C957" s="89"/>
      <c r="D957" s="89"/>
      <c r="E957" s="89"/>
      <c r="F957" s="89"/>
      <c r="G957" s="89"/>
      <c r="H957" s="89"/>
      <c r="I957" s="89"/>
      <c r="J957" s="89"/>
      <c r="K957" s="89"/>
      <c r="L957" s="89"/>
      <c r="M957" s="89"/>
      <c r="N957" s="90"/>
      <c r="O957" s="90"/>
      <c r="P957" s="90"/>
      <c r="Q957" s="89"/>
    </row>
    <row r="958" spans="1:17" ht="15.75" customHeight="1" x14ac:dyDescent="0.25">
      <c r="A958" s="89"/>
      <c r="B958" s="89"/>
      <c r="C958" s="89"/>
      <c r="D958" s="89"/>
      <c r="E958" s="89"/>
      <c r="F958" s="89"/>
      <c r="G958" s="89"/>
      <c r="H958" s="89"/>
      <c r="I958" s="89"/>
      <c r="J958" s="89"/>
      <c r="K958" s="89"/>
      <c r="L958" s="89"/>
      <c r="M958" s="89"/>
      <c r="N958" s="90"/>
      <c r="O958" s="90"/>
      <c r="P958" s="90"/>
      <c r="Q958" s="89"/>
    </row>
    <row r="959" spans="1:17" ht="15.75" customHeight="1" x14ac:dyDescent="0.25">
      <c r="A959" s="89"/>
      <c r="B959" s="89"/>
      <c r="C959" s="89"/>
      <c r="D959" s="89"/>
      <c r="E959" s="89"/>
      <c r="F959" s="89"/>
      <c r="G959" s="89"/>
      <c r="H959" s="89"/>
      <c r="I959" s="89"/>
      <c r="J959" s="89"/>
      <c r="K959" s="89"/>
      <c r="L959" s="89"/>
      <c r="M959" s="89"/>
      <c r="N959" s="90"/>
      <c r="O959" s="90"/>
      <c r="P959" s="90"/>
      <c r="Q959" s="89"/>
    </row>
    <row r="960" spans="1:17" ht="15.75" customHeight="1" x14ac:dyDescent="0.25">
      <c r="A960" s="89"/>
      <c r="B960" s="89"/>
      <c r="C960" s="89"/>
      <c r="D960" s="89"/>
      <c r="E960" s="89"/>
      <c r="F960" s="89"/>
      <c r="G960" s="89"/>
      <c r="H960" s="89"/>
      <c r="I960" s="89"/>
      <c r="J960" s="89"/>
      <c r="K960" s="89"/>
      <c r="L960" s="89"/>
      <c r="M960" s="89"/>
      <c r="N960" s="90"/>
      <c r="O960" s="90"/>
      <c r="P960" s="90"/>
      <c r="Q960" s="89"/>
    </row>
    <row r="961" spans="1:17" ht="15.75" customHeight="1" x14ac:dyDescent="0.25">
      <c r="A961" s="89"/>
      <c r="B961" s="89"/>
      <c r="C961" s="89"/>
      <c r="D961" s="89"/>
      <c r="E961" s="89"/>
      <c r="F961" s="89"/>
      <c r="G961" s="89"/>
      <c r="H961" s="89"/>
      <c r="I961" s="89"/>
      <c r="J961" s="89"/>
      <c r="K961" s="89"/>
      <c r="L961" s="89"/>
      <c r="M961" s="89"/>
      <c r="N961" s="90"/>
      <c r="O961" s="90"/>
      <c r="P961" s="90"/>
      <c r="Q961" s="89"/>
    </row>
    <row r="962" spans="1:17" ht="15.75" customHeight="1" x14ac:dyDescent="0.25">
      <c r="A962" s="89"/>
      <c r="B962" s="89"/>
      <c r="C962" s="89"/>
      <c r="D962" s="89"/>
      <c r="E962" s="89"/>
      <c r="F962" s="89"/>
      <c r="G962" s="89"/>
      <c r="H962" s="89"/>
      <c r="I962" s="89"/>
      <c r="J962" s="89"/>
      <c r="K962" s="89"/>
      <c r="L962" s="89"/>
      <c r="M962" s="89"/>
      <c r="N962" s="90"/>
      <c r="O962" s="90"/>
      <c r="P962" s="90"/>
      <c r="Q962" s="89"/>
    </row>
    <row r="963" spans="1:17" ht="15.75" customHeight="1" x14ac:dyDescent="0.25">
      <c r="A963" s="89"/>
      <c r="B963" s="89"/>
      <c r="C963" s="89"/>
      <c r="D963" s="89"/>
      <c r="E963" s="89"/>
      <c r="F963" s="89"/>
      <c r="G963" s="89"/>
      <c r="H963" s="89"/>
      <c r="I963" s="89"/>
      <c r="J963" s="89"/>
      <c r="K963" s="89"/>
      <c r="L963" s="89"/>
      <c r="M963" s="89"/>
      <c r="N963" s="90"/>
      <c r="O963" s="90"/>
      <c r="P963" s="90"/>
      <c r="Q963" s="89"/>
    </row>
    <row r="964" spans="1:17" ht="15.75" customHeight="1" x14ac:dyDescent="0.25">
      <c r="A964" s="89"/>
      <c r="B964" s="89"/>
      <c r="C964" s="89"/>
      <c r="D964" s="89"/>
      <c r="E964" s="89"/>
      <c r="F964" s="89"/>
      <c r="G964" s="89"/>
      <c r="H964" s="89"/>
      <c r="I964" s="89"/>
      <c r="J964" s="89"/>
      <c r="K964" s="89"/>
      <c r="L964" s="89"/>
      <c r="M964" s="89"/>
      <c r="N964" s="90"/>
      <c r="O964" s="90"/>
      <c r="P964" s="90"/>
      <c r="Q964" s="89"/>
    </row>
    <row r="965" spans="1:17" ht="15.75" customHeight="1" x14ac:dyDescent="0.25">
      <c r="A965" s="89"/>
      <c r="B965" s="89"/>
      <c r="C965" s="89"/>
      <c r="D965" s="89"/>
      <c r="E965" s="89"/>
      <c r="F965" s="89"/>
      <c r="G965" s="89"/>
      <c r="H965" s="89"/>
      <c r="I965" s="89"/>
      <c r="J965" s="89"/>
      <c r="K965" s="89"/>
      <c r="L965" s="89"/>
      <c r="M965" s="89"/>
      <c r="N965" s="90"/>
      <c r="O965" s="90"/>
      <c r="P965" s="90"/>
      <c r="Q965" s="89"/>
    </row>
    <row r="966" spans="1:17" ht="15.75" customHeight="1" x14ac:dyDescent="0.25">
      <c r="A966" s="89"/>
      <c r="B966" s="89"/>
      <c r="C966" s="89"/>
      <c r="D966" s="89"/>
      <c r="E966" s="89"/>
      <c r="F966" s="89"/>
      <c r="G966" s="89"/>
      <c r="H966" s="89"/>
      <c r="I966" s="89"/>
      <c r="J966" s="89"/>
      <c r="K966" s="89"/>
      <c r="L966" s="89"/>
      <c r="M966" s="89"/>
      <c r="N966" s="90"/>
      <c r="O966" s="90"/>
      <c r="P966" s="90"/>
      <c r="Q966" s="89"/>
    </row>
    <row r="967" spans="1:17" ht="15.75" customHeight="1" x14ac:dyDescent="0.25">
      <c r="A967" s="89"/>
      <c r="B967" s="89"/>
      <c r="C967" s="89"/>
      <c r="D967" s="89"/>
      <c r="E967" s="89"/>
      <c r="F967" s="89"/>
      <c r="G967" s="89"/>
      <c r="H967" s="89"/>
      <c r="I967" s="89"/>
      <c r="J967" s="89"/>
      <c r="K967" s="89"/>
      <c r="L967" s="89"/>
      <c r="M967" s="89"/>
      <c r="N967" s="90"/>
      <c r="O967" s="90"/>
      <c r="P967" s="90"/>
      <c r="Q967" s="89"/>
    </row>
    <row r="968" spans="1:17" ht="15.75" customHeight="1" x14ac:dyDescent="0.25">
      <c r="A968" s="89"/>
      <c r="B968" s="89"/>
      <c r="C968" s="89"/>
      <c r="D968" s="89"/>
      <c r="E968" s="89"/>
      <c r="F968" s="89"/>
      <c r="G968" s="89"/>
      <c r="H968" s="89"/>
      <c r="I968" s="89"/>
      <c r="J968" s="89"/>
      <c r="K968" s="89"/>
      <c r="L968" s="89"/>
      <c r="M968" s="89"/>
      <c r="N968" s="90"/>
      <c r="O968" s="90"/>
      <c r="P968" s="90"/>
      <c r="Q968" s="89"/>
    </row>
    <row r="969" spans="1:17" ht="15.75" customHeight="1" x14ac:dyDescent="0.25">
      <c r="A969" s="89"/>
      <c r="B969" s="89"/>
      <c r="C969" s="89"/>
      <c r="D969" s="89"/>
      <c r="E969" s="89"/>
      <c r="F969" s="89"/>
      <c r="G969" s="89"/>
      <c r="H969" s="89"/>
      <c r="I969" s="89"/>
      <c r="J969" s="89"/>
      <c r="K969" s="89"/>
      <c r="L969" s="89"/>
      <c r="M969" s="89"/>
      <c r="N969" s="90"/>
      <c r="O969" s="90"/>
      <c r="P969" s="90"/>
      <c r="Q969" s="89"/>
    </row>
    <row r="970" spans="1:17" ht="15.75" customHeight="1" x14ac:dyDescent="0.25">
      <c r="A970" s="89"/>
      <c r="B970" s="89"/>
      <c r="C970" s="89"/>
      <c r="D970" s="89"/>
      <c r="E970" s="89"/>
      <c r="F970" s="89"/>
      <c r="G970" s="89"/>
      <c r="H970" s="89"/>
      <c r="I970" s="89"/>
      <c r="J970" s="89"/>
      <c r="K970" s="89"/>
      <c r="L970" s="89"/>
      <c r="M970" s="89"/>
      <c r="N970" s="90"/>
      <c r="O970" s="90"/>
      <c r="P970" s="90"/>
      <c r="Q970" s="89"/>
    </row>
    <row r="971" spans="1:17" ht="15.75" customHeight="1" x14ac:dyDescent="0.25">
      <c r="A971" s="89"/>
      <c r="B971" s="89"/>
      <c r="C971" s="89"/>
      <c r="D971" s="89"/>
      <c r="E971" s="89"/>
      <c r="F971" s="89"/>
      <c r="G971" s="89"/>
      <c r="H971" s="89"/>
      <c r="I971" s="89"/>
      <c r="J971" s="89"/>
      <c r="K971" s="89"/>
      <c r="L971" s="89"/>
      <c r="M971" s="89"/>
      <c r="N971" s="90"/>
      <c r="O971" s="90"/>
      <c r="P971" s="90"/>
      <c r="Q971" s="89"/>
    </row>
    <row r="972" spans="1:17" ht="15.75" customHeight="1" x14ac:dyDescent="0.25">
      <c r="A972" s="89"/>
      <c r="B972" s="89"/>
      <c r="C972" s="89"/>
      <c r="D972" s="89"/>
      <c r="E972" s="89"/>
      <c r="F972" s="89"/>
      <c r="G972" s="89"/>
      <c r="H972" s="89"/>
      <c r="I972" s="89"/>
      <c r="J972" s="89"/>
      <c r="K972" s="89"/>
      <c r="L972" s="89"/>
      <c r="M972" s="89"/>
      <c r="N972" s="90"/>
      <c r="O972" s="90"/>
      <c r="P972" s="90"/>
      <c r="Q972" s="89"/>
    </row>
    <row r="973" spans="1:17" ht="15.75" customHeight="1" x14ac:dyDescent="0.25">
      <c r="A973" s="89"/>
      <c r="B973" s="89"/>
      <c r="C973" s="89"/>
      <c r="D973" s="89"/>
      <c r="E973" s="89"/>
      <c r="F973" s="89"/>
      <c r="G973" s="89"/>
      <c r="H973" s="89"/>
      <c r="I973" s="89"/>
      <c r="J973" s="89"/>
      <c r="K973" s="89"/>
      <c r="L973" s="89"/>
      <c r="M973" s="89"/>
      <c r="N973" s="90"/>
      <c r="O973" s="90"/>
      <c r="P973" s="90"/>
      <c r="Q973" s="89"/>
    </row>
    <row r="974" spans="1:17" ht="15.75" customHeight="1" x14ac:dyDescent="0.25">
      <c r="A974" s="89"/>
      <c r="B974" s="89"/>
      <c r="C974" s="89"/>
      <c r="D974" s="89"/>
      <c r="E974" s="89"/>
      <c r="F974" s="89"/>
      <c r="G974" s="89"/>
      <c r="H974" s="89"/>
      <c r="I974" s="89"/>
      <c r="J974" s="89"/>
      <c r="K974" s="89"/>
      <c r="L974" s="89"/>
      <c r="M974" s="89"/>
      <c r="N974" s="90"/>
      <c r="O974" s="90"/>
      <c r="P974" s="90"/>
      <c r="Q974" s="89"/>
    </row>
    <row r="975" spans="1:17" ht="15.75" customHeight="1" x14ac:dyDescent="0.25">
      <c r="A975" s="89"/>
      <c r="B975" s="89"/>
      <c r="C975" s="89"/>
      <c r="D975" s="89"/>
      <c r="E975" s="89"/>
      <c r="F975" s="89"/>
      <c r="G975" s="89"/>
      <c r="H975" s="89"/>
      <c r="I975" s="89"/>
      <c r="J975" s="89"/>
      <c r="K975" s="89"/>
      <c r="L975" s="89"/>
      <c r="M975" s="89"/>
      <c r="N975" s="90"/>
      <c r="O975" s="90"/>
      <c r="P975" s="90"/>
      <c r="Q975" s="89"/>
    </row>
    <row r="976" spans="1:17" ht="15.75" customHeight="1" x14ac:dyDescent="0.25">
      <c r="A976" s="89"/>
      <c r="B976" s="89"/>
      <c r="C976" s="89"/>
      <c r="D976" s="89"/>
      <c r="E976" s="89"/>
      <c r="F976" s="89"/>
      <c r="G976" s="89"/>
      <c r="H976" s="89"/>
      <c r="I976" s="89"/>
      <c r="J976" s="89"/>
      <c r="K976" s="89"/>
      <c r="L976" s="89"/>
      <c r="M976" s="89"/>
      <c r="N976" s="90"/>
      <c r="O976" s="90"/>
      <c r="P976" s="90"/>
      <c r="Q976" s="89"/>
    </row>
    <row r="977" spans="1:17" ht="15.75" customHeight="1" x14ac:dyDescent="0.25">
      <c r="A977" s="89"/>
      <c r="B977" s="89"/>
      <c r="C977" s="89"/>
      <c r="D977" s="89"/>
      <c r="E977" s="89"/>
      <c r="F977" s="89"/>
      <c r="G977" s="89"/>
      <c r="H977" s="89"/>
      <c r="I977" s="89"/>
      <c r="J977" s="89"/>
      <c r="K977" s="89"/>
      <c r="L977" s="89"/>
      <c r="M977" s="89"/>
      <c r="N977" s="90"/>
      <c r="O977" s="90"/>
      <c r="P977" s="90"/>
      <c r="Q977" s="89"/>
    </row>
    <row r="978" spans="1:17" ht="15.75" customHeight="1" x14ac:dyDescent="0.25">
      <c r="A978" s="89"/>
      <c r="B978" s="89"/>
      <c r="C978" s="89"/>
      <c r="D978" s="89"/>
      <c r="E978" s="89"/>
      <c r="F978" s="89"/>
      <c r="G978" s="89"/>
      <c r="H978" s="89"/>
      <c r="I978" s="89"/>
      <c r="J978" s="89"/>
      <c r="K978" s="89"/>
      <c r="L978" s="89"/>
      <c r="M978" s="89"/>
      <c r="N978" s="90"/>
      <c r="O978" s="90"/>
      <c r="P978" s="90"/>
      <c r="Q978" s="89"/>
    </row>
    <row r="979" spans="1:17" ht="15.75" customHeight="1" x14ac:dyDescent="0.25">
      <c r="A979" s="89"/>
      <c r="B979" s="89"/>
      <c r="C979" s="89"/>
      <c r="D979" s="89"/>
      <c r="E979" s="89"/>
      <c r="F979" s="89"/>
      <c r="G979" s="89"/>
      <c r="H979" s="89"/>
      <c r="I979" s="89"/>
      <c r="J979" s="89"/>
      <c r="K979" s="89"/>
      <c r="L979" s="89"/>
      <c r="M979" s="89"/>
      <c r="N979" s="90"/>
      <c r="O979" s="90"/>
      <c r="P979" s="90"/>
      <c r="Q979" s="89"/>
    </row>
    <row r="980" spans="1:17" ht="15.75" customHeight="1" x14ac:dyDescent="0.25">
      <c r="A980" s="89"/>
      <c r="B980" s="89"/>
      <c r="C980" s="89"/>
      <c r="D980" s="89"/>
      <c r="E980" s="89"/>
      <c r="F980" s="89"/>
      <c r="G980" s="89"/>
      <c r="H980" s="89"/>
      <c r="I980" s="89"/>
      <c r="J980" s="89"/>
      <c r="K980" s="89"/>
      <c r="L980" s="89"/>
      <c r="M980" s="89"/>
      <c r="N980" s="90"/>
      <c r="O980" s="90"/>
      <c r="P980" s="90"/>
      <c r="Q980" s="89"/>
    </row>
    <row r="981" spans="1:17" ht="15.75" customHeight="1" x14ac:dyDescent="0.25">
      <c r="A981" s="89"/>
      <c r="B981" s="89"/>
      <c r="C981" s="89"/>
      <c r="D981" s="89"/>
      <c r="E981" s="89"/>
      <c r="F981" s="89"/>
      <c r="G981" s="89"/>
      <c r="H981" s="89"/>
      <c r="I981" s="89"/>
      <c r="J981" s="89"/>
      <c r="K981" s="89"/>
      <c r="L981" s="89"/>
      <c r="M981" s="89"/>
      <c r="N981" s="90"/>
      <c r="O981" s="90"/>
      <c r="P981" s="90"/>
      <c r="Q981" s="89"/>
    </row>
    <row r="982" spans="1:17" ht="15.75" customHeight="1" x14ac:dyDescent="0.25">
      <c r="A982" s="89"/>
      <c r="B982" s="89"/>
      <c r="C982" s="89"/>
      <c r="D982" s="89"/>
      <c r="E982" s="89"/>
      <c r="F982" s="89"/>
      <c r="G982" s="89"/>
      <c r="H982" s="89"/>
      <c r="I982" s="89"/>
      <c r="J982" s="89"/>
      <c r="K982" s="89"/>
      <c r="L982" s="89"/>
      <c r="M982" s="89"/>
      <c r="N982" s="90"/>
      <c r="O982" s="90"/>
      <c r="P982" s="90"/>
      <c r="Q982" s="89"/>
    </row>
    <row r="983" spans="1:17" ht="15.75" customHeight="1" x14ac:dyDescent="0.25">
      <c r="A983" s="89"/>
      <c r="B983" s="89"/>
      <c r="C983" s="89"/>
      <c r="D983" s="89"/>
      <c r="E983" s="89"/>
      <c r="F983" s="89"/>
      <c r="G983" s="89"/>
      <c r="H983" s="89"/>
      <c r="I983" s="89"/>
      <c r="J983" s="89"/>
      <c r="K983" s="89"/>
      <c r="L983" s="89"/>
      <c r="M983" s="89"/>
      <c r="N983" s="90"/>
      <c r="O983" s="90"/>
      <c r="P983" s="90"/>
      <c r="Q983" s="89"/>
    </row>
    <row r="984" spans="1:17" ht="15.75" customHeight="1" x14ac:dyDescent="0.25">
      <c r="A984" s="89"/>
      <c r="B984" s="89"/>
      <c r="C984" s="89"/>
      <c r="D984" s="89"/>
      <c r="E984" s="89"/>
      <c r="F984" s="89"/>
      <c r="G984" s="89"/>
      <c r="H984" s="89"/>
      <c r="I984" s="89"/>
      <c r="J984" s="89"/>
      <c r="K984" s="89"/>
      <c r="L984" s="89"/>
      <c r="M984" s="89"/>
      <c r="N984" s="90"/>
      <c r="O984" s="90"/>
      <c r="P984" s="90"/>
      <c r="Q984" s="89"/>
    </row>
    <row r="985" spans="1:17" ht="15.75" customHeight="1" x14ac:dyDescent="0.25">
      <c r="A985" s="89"/>
      <c r="B985" s="89"/>
      <c r="C985" s="89"/>
      <c r="D985" s="89"/>
      <c r="E985" s="89"/>
      <c r="F985" s="89"/>
      <c r="G985" s="89"/>
      <c r="H985" s="89"/>
      <c r="I985" s="89"/>
      <c r="J985" s="89"/>
      <c r="K985" s="89"/>
      <c r="L985" s="89"/>
      <c r="M985" s="89"/>
      <c r="N985" s="90"/>
      <c r="O985" s="90"/>
      <c r="P985" s="90"/>
      <c r="Q985" s="89"/>
    </row>
    <row r="986" spans="1:17" ht="15.75" customHeight="1" x14ac:dyDescent="0.25">
      <c r="A986" s="89"/>
      <c r="B986" s="89"/>
      <c r="C986" s="89"/>
      <c r="D986" s="89"/>
      <c r="E986" s="89"/>
      <c r="F986" s="89"/>
      <c r="G986" s="89"/>
      <c r="H986" s="89"/>
      <c r="I986" s="89"/>
      <c r="J986" s="89"/>
      <c r="K986" s="89"/>
      <c r="L986" s="89"/>
      <c r="M986" s="89"/>
      <c r="N986" s="90"/>
      <c r="O986" s="90"/>
      <c r="P986" s="90"/>
      <c r="Q986" s="89"/>
    </row>
    <row r="987" spans="1:17" ht="15.75" customHeight="1" x14ac:dyDescent="0.25">
      <c r="A987" s="89"/>
      <c r="B987" s="89"/>
      <c r="C987" s="89"/>
      <c r="D987" s="89"/>
      <c r="E987" s="89"/>
      <c r="F987" s="89"/>
      <c r="G987" s="89"/>
      <c r="H987" s="89"/>
      <c r="I987" s="89"/>
      <c r="J987" s="89"/>
      <c r="K987" s="89"/>
      <c r="L987" s="89"/>
      <c r="M987" s="89"/>
      <c r="N987" s="90"/>
      <c r="O987" s="90"/>
      <c r="P987" s="90"/>
      <c r="Q987" s="89"/>
    </row>
    <row r="988" spans="1:17" ht="15.75" customHeight="1" x14ac:dyDescent="0.25">
      <c r="A988" s="89"/>
      <c r="B988" s="89"/>
      <c r="C988" s="89"/>
      <c r="D988" s="89"/>
      <c r="E988" s="89"/>
      <c r="F988" s="89"/>
      <c r="G988" s="89"/>
      <c r="H988" s="89"/>
      <c r="I988" s="89"/>
      <c r="J988" s="89"/>
      <c r="K988" s="89"/>
      <c r="L988" s="89"/>
      <c r="M988" s="89"/>
      <c r="N988" s="90"/>
      <c r="O988" s="90"/>
      <c r="P988" s="90"/>
      <c r="Q988" s="89"/>
    </row>
    <row r="989" spans="1:17" ht="15.75" customHeight="1" x14ac:dyDescent="0.25">
      <c r="A989" s="89"/>
      <c r="B989" s="89"/>
      <c r="C989" s="89"/>
      <c r="D989" s="89"/>
      <c r="E989" s="89"/>
      <c r="F989" s="89"/>
      <c r="G989" s="89"/>
      <c r="H989" s="89"/>
      <c r="I989" s="89"/>
      <c r="J989" s="89"/>
      <c r="K989" s="89"/>
      <c r="L989" s="89"/>
      <c r="M989" s="89"/>
      <c r="N989" s="90"/>
      <c r="O989" s="90"/>
      <c r="P989" s="90"/>
      <c r="Q989" s="89"/>
    </row>
    <row r="990" spans="1:17" ht="15.75" customHeight="1" x14ac:dyDescent="0.25">
      <c r="A990" s="89"/>
      <c r="B990" s="89"/>
      <c r="C990" s="89"/>
      <c r="D990" s="89"/>
      <c r="E990" s="89"/>
      <c r="F990" s="89"/>
      <c r="G990" s="89"/>
      <c r="H990" s="89"/>
      <c r="I990" s="89"/>
      <c r="J990" s="89"/>
      <c r="K990" s="89"/>
      <c r="L990" s="89"/>
      <c r="M990" s="89"/>
      <c r="N990" s="90"/>
      <c r="O990" s="90"/>
      <c r="P990" s="90"/>
      <c r="Q990" s="89"/>
    </row>
    <row r="991" spans="1:17" ht="15.75" customHeight="1" x14ac:dyDescent="0.25">
      <c r="A991" s="89"/>
      <c r="B991" s="89"/>
      <c r="C991" s="89"/>
      <c r="D991" s="89"/>
      <c r="E991" s="89"/>
      <c r="F991" s="89"/>
      <c r="G991" s="89"/>
      <c r="H991" s="89"/>
      <c r="I991" s="89"/>
      <c r="J991" s="89"/>
      <c r="K991" s="89"/>
      <c r="L991" s="89"/>
      <c r="M991" s="89"/>
      <c r="N991" s="90"/>
      <c r="O991" s="90"/>
      <c r="P991" s="90"/>
      <c r="Q991" s="89"/>
    </row>
    <row r="992" spans="1:17" ht="15.75" customHeight="1" x14ac:dyDescent="0.25">
      <c r="A992" s="89"/>
      <c r="B992" s="89"/>
      <c r="C992" s="89"/>
      <c r="D992" s="89"/>
      <c r="E992" s="89"/>
      <c r="F992" s="89"/>
      <c r="G992" s="89"/>
      <c r="H992" s="89"/>
      <c r="I992" s="89"/>
      <c r="J992" s="89"/>
      <c r="K992" s="89"/>
      <c r="L992" s="89"/>
      <c r="M992" s="89"/>
      <c r="N992" s="90"/>
      <c r="O992" s="90"/>
      <c r="P992" s="90"/>
      <c r="Q992" s="89"/>
    </row>
    <row r="993" spans="1:17" ht="15.75" customHeight="1" x14ac:dyDescent="0.25">
      <c r="A993" s="89"/>
      <c r="B993" s="89"/>
      <c r="C993" s="89"/>
      <c r="D993" s="89"/>
      <c r="E993" s="89"/>
      <c r="F993" s="89"/>
      <c r="G993" s="89"/>
      <c r="H993" s="89"/>
      <c r="I993" s="89"/>
      <c r="J993" s="89"/>
      <c r="K993" s="89"/>
      <c r="L993" s="89"/>
      <c r="M993" s="89"/>
      <c r="N993" s="90"/>
      <c r="O993" s="90"/>
      <c r="P993" s="90"/>
      <c r="Q993" s="89"/>
    </row>
    <row r="994" spans="1:17" ht="15.75" customHeight="1" x14ac:dyDescent="0.25">
      <c r="A994" s="89"/>
      <c r="B994" s="89"/>
      <c r="C994" s="89"/>
      <c r="D994" s="89"/>
      <c r="E994" s="89"/>
      <c r="F994" s="89"/>
      <c r="G994" s="89"/>
      <c r="H994" s="89"/>
      <c r="I994" s="89"/>
      <c r="J994" s="89"/>
      <c r="K994" s="89"/>
      <c r="L994" s="89"/>
      <c r="M994" s="89"/>
      <c r="N994" s="90"/>
      <c r="O994" s="90"/>
      <c r="P994" s="90"/>
      <c r="Q994" s="89"/>
    </row>
    <row r="995" spans="1:17" ht="15.75" customHeight="1" x14ac:dyDescent="0.25">
      <c r="A995" s="89"/>
      <c r="B995" s="89"/>
      <c r="C995" s="89"/>
      <c r="D995" s="89"/>
      <c r="E995" s="89"/>
      <c r="F995" s="89"/>
      <c r="G995" s="89"/>
      <c r="H995" s="89"/>
      <c r="I995" s="89"/>
      <c r="J995" s="89"/>
      <c r="K995" s="89"/>
      <c r="L995" s="89"/>
      <c r="M995" s="89"/>
      <c r="N995" s="90"/>
      <c r="O995" s="90"/>
      <c r="P995" s="90"/>
      <c r="Q995" s="89"/>
    </row>
    <row r="996" spans="1:17" ht="15.75" customHeight="1" x14ac:dyDescent="0.25">
      <c r="A996" s="89"/>
      <c r="B996" s="89"/>
      <c r="C996" s="89"/>
      <c r="D996" s="89"/>
      <c r="E996" s="89"/>
      <c r="F996" s="89"/>
      <c r="G996" s="89"/>
      <c r="H996" s="89"/>
      <c r="I996" s="89"/>
      <c r="J996" s="89"/>
      <c r="K996" s="89"/>
      <c r="L996" s="89"/>
      <c r="M996" s="89"/>
      <c r="N996" s="90"/>
      <c r="O996" s="90"/>
      <c r="P996" s="90"/>
      <c r="Q996" s="89"/>
    </row>
    <row r="997" spans="1:17" ht="15.75" customHeight="1" x14ac:dyDescent="0.25">
      <c r="A997" s="89"/>
      <c r="B997" s="89"/>
      <c r="C997" s="89"/>
      <c r="D997" s="89"/>
      <c r="E997" s="89"/>
      <c r="F997" s="89"/>
      <c r="G997" s="89"/>
      <c r="H997" s="89"/>
      <c r="I997" s="89"/>
      <c r="J997" s="89"/>
      <c r="K997" s="89"/>
      <c r="L997" s="89"/>
      <c r="M997" s="89"/>
      <c r="N997" s="90"/>
      <c r="O997" s="90"/>
      <c r="P997" s="90"/>
      <c r="Q997" s="89"/>
    </row>
    <row r="998" spans="1:17" ht="15.75" customHeight="1" x14ac:dyDescent="0.25">
      <c r="A998" s="89"/>
      <c r="B998" s="89"/>
      <c r="C998" s="89"/>
      <c r="D998" s="89"/>
      <c r="E998" s="89"/>
      <c r="F998" s="89"/>
      <c r="G998" s="89"/>
      <c r="H998" s="89"/>
      <c r="I998" s="89"/>
      <c r="J998" s="89"/>
      <c r="K998" s="89"/>
      <c r="L998" s="89"/>
      <c r="M998" s="89"/>
      <c r="N998" s="90"/>
      <c r="O998" s="90"/>
      <c r="P998" s="90"/>
      <c r="Q998" s="89"/>
    </row>
    <row r="999" spans="1:17" ht="15.75" customHeight="1" x14ac:dyDescent="0.25">
      <c r="A999" s="89"/>
      <c r="B999" s="89"/>
      <c r="C999" s="89"/>
      <c r="D999" s="89"/>
      <c r="E999" s="89"/>
      <c r="F999" s="89"/>
      <c r="G999" s="89"/>
      <c r="H999" s="89"/>
      <c r="I999" s="89"/>
      <c r="J999" s="89"/>
      <c r="K999" s="89"/>
      <c r="L999" s="89"/>
      <c r="M999" s="89"/>
      <c r="N999" s="90"/>
      <c r="O999" s="90"/>
      <c r="P999" s="90"/>
      <c r="Q999" s="89"/>
    </row>
    <row r="1000" spans="1:17" ht="15.75" customHeight="1" x14ac:dyDescent="0.25">
      <c r="A1000" s="89"/>
      <c r="B1000" s="89"/>
      <c r="C1000" s="89"/>
      <c r="D1000" s="89"/>
      <c r="E1000" s="89"/>
      <c r="F1000" s="89"/>
      <c r="G1000" s="89"/>
      <c r="H1000" s="89"/>
      <c r="I1000" s="89"/>
      <c r="J1000" s="89"/>
      <c r="K1000" s="89"/>
      <c r="L1000" s="89"/>
      <c r="M1000" s="89"/>
      <c r="N1000" s="90"/>
      <c r="O1000" s="90"/>
      <c r="P1000" s="90"/>
      <c r="Q1000" s="89"/>
    </row>
    <row r="1001" spans="1:17" ht="15.75" customHeight="1" x14ac:dyDescent="0.25">
      <c r="A1001" s="89"/>
      <c r="B1001" s="89"/>
      <c r="C1001" s="89"/>
      <c r="D1001" s="89"/>
      <c r="E1001" s="89"/>
      <c r="F1001" s="89"/>
      <c r="G1001" s="89"/>
      <c r="H1001" s="89"/>
      <c r="I1001" s="89"/>
      <c r="J1001" s="89"/>
      <c r="K1001" s="89"/>
      <c r="L1001" s="89"/>
      <c r="M1001" s="89"/>
      <c r="N1001" s="90"/>
      <c r="O1001" s="90"/>
      <c r="P1001" s="90"/>
      <c r="Q1001" s="89"/>
    </row>
    <row r="1002" spans="1:17" ht="15.75" customHeight="1" x14ac:dyDescent="0.25">
      <c r="A1002" s="89"/>
      <c r="B1002" s="89"/>
      <c r="C1002" s="89"/>
      <c r="D1002" s="89"/>
      <c r="E1002" s="89"/>
      <c r="F1002" s="89"/>
      <c r="G1002" s="89"/>
      <c r="H1002" s="89"/>
      <c r="I1002" s="89"/>
      <c r="J1002" s="89"/>
      <c r="K1002" s="89"/>
      <c r="L1002" s="89"/>
      <c r="M1002" s="89"/>
      <c r="N1002" s="90"/>
      <c r="O1002" s="90"/>
      <c r="P1002" s="90"/>
      <c r="Q1002" s="89"/>
    </row>
    <row r="1003" spans="1:17" ht="15.75" customHeight="1" x14ac:dyDescent="0.25">
      <c r="A1003" s="89"/>
      <c r="B1003" s="89"/>
      <c r="C1003" s="89"/>
      <c r="D1003" s="89"/>
      <c r="E1003" s="89"/>
      <c r="F1003" s="89"/>
      <c r="G1003" s="89"/>
      <c r="H1003" s="89"/>
      <c r="I1003" s="89"/>
      <c r="J1003" s="89"/>
      <c r="K1003" s="89"/>
      <c r="L1003" s="89"/>
      <c r="M1003" s="89"/>
      <c r="N1003" s="90"/>
      <c r="O1003" s="90"/>
      <c r="P1003" s="90"/>
      <c r="Q1003" s="89"/>
    </row>
    <row r="1004" spans="1:17" ht="15.75" customHeight="1" x14ac:dyDescent="0.25">
      <c r="A1004" s="89"/>
      <c r="B1004" s="89"/>
      <c r="C1004" s="89"/>
      <c r="D1004" s="89"/>
      <c r="E1004" s="89"/>
      <c r="F1004" s="89"/>
      <c r="G1004" s="89"/>
      <c r="H1004" s="89"/>
      <c r="I1004" s="89"/>
      <c r="J1004" s="89"/>
      <c r="K1004" s="89"/>
      <c r="L1004" s="89"/>
      <c r="M1004" s="89"/>
      <c r="N1004" s="90"/>
      <c r="O1004" s="90"/>
      <c r="P1004" s="90"/>
      <c r="Q1004" s="89"/>
    </row>
    <row r="1005" spans="1:17" ht="15.75" customHeight="1" x14ac:dyDescent="0.25">
      <c r="A1005" s="89"/>
      <c r="B1005" s="89"/>
      <c r="C1005" s="89"/>
      <c r="D1005" s="89"/>
      <c r="E1005" s="89"/>
      <c r="F1005" s="89"/>
      <c r="G1005" s="89"/>
      <c r="H1005" s="89"/>
      <c r="I1005" s="89"/>
      <c r="J1005" s="89"/>
      <c r="K1005" s="89"/>
      <c r="L1005" s="89"/>
      <c r="M1005" s="89"/>
      <c r="N1005" s="90"/>
      <c r="O1005" s="90"/>
      <c r="P1005" s="90"/>
      <c r="Q1005" s="89"/>
    </row>
    <row r="1006" spans="1:17" ht="15.75" customHeight="1" x14ac:dyDescent="0.25">
      <c r="A1006" s="89"/>
      <c r="B1006" s="89"/>
      <c r="C1006" s="89"/>
      <c r="D1006" s="89"/>
      <c r="E1006" s="89"/>
      <c r="F1006" s="89"/>
      <c r="G1006" s="89"/>
      <c r="H1006" s="89"/>
      <c r="I1006" s="89"/>
      <c r="J1006" s="89"/>
      <c r="K1006" s="89"/>
      <c r="L1006" s="89"/>
      <c r="M1006" s="89"/>
      <c r="N1006" s="90"/>
      <c r="O1006" s="90"/>
      <c r="P1006" s="90"/>
      <c r="Q1006" s="89"/>
    </row>
    <row r="1007" spans="1:17" ht="15.75" customHeight="1" x14ac:dyDescent="0.25">
      <c r="A1007" s="89"/>
      <c r="B1007" s="89"/>
      <c r="C1007" s="89"/>
      <c r="D1007" s="89"/>
      <c r="E1007" s="89"/>
      <c r="F1007" s="89"/>
      <c r="G1007" s="89"/>
      <c r="H1007" s="89"/>
      <c r="I1007" s="89"/>
      <c r="J1007" s="89"/>
      <c r="K1007" s="89"/>
      <c r="L1007" s="89"/>
      <c r="M1007" s="89"/>
      <c r="N1007" s="90"/>
      <c r="O1007" s="90"/>
      <c r="P1007" s="90"/>
      <c r="Q1007" s="89"/>
    </row>
    <row r="1008" spans="1:17" ht="15.75" customHeight="1" x14ac:dyDescent="0.25">
      <c r="A1008" s="89"/>
      <c r="B1008" s="89"/>
      <c r="C1008" s="89"/>
      <c r="D1008" s="89"/>
      <c r="E1008" s="89"/>
      <c r="F1008" s="89"/>
      <c r="G1008" s="89"/>
      <c r="H1008" s="89"/>
      <c r="I1008" s="89"/>
      <c r="J1008" s="89"/>
      <c r="K1008" s="89"/>
      <c r="L1008" s="89"/>
      <c r="M1008" s="89"/>
      <c r="N1008" s="90"/>
      <c r="O1008" s="90"/>
      <c r="P1008" s="90"/>
      <c r="Q1008" s="89"/>
    </row>
    <row r="1009" spans="1:17" ht="15.75" customHeight="1" x14ac:dyDescent="0.25">
      <c r="A1009" s="89"/>
      <c r="B1009" s="89"/>
      <c r="C1009" s="89"/>
      <c r="D1009" s="89"/>
      <c r="E1009" s="89"/>
      <c r="F1009" s="89"/>
      <c r="G1009" s="89"/>
      <c r="H1009" s="89"/>
      <c r="I1009" s="89"/>
      <c r="J1009" s="89"/>
      <c r="K1009" s="89"/>
      <c r="L1009" s="89"/>
      <c r="M1009" s="89"/>
      <c r="N1009" s="90"/>
      <c r="O1009" s="90"/>
      <c r="P1009" s="90"/>
      <c r="Q1009" s="89"/>
    </row>
    <row r="1010" spans="1:17" ht="15.75" customHeight="1" x14ac:dyDescent="0.25">
      <c r="A1010" s="89"/>
      <c r="B1010" s="89"/>
      <c r="C1010" s="89"/>
      <c r="D1010" s="89"/>
      <c r="E1010" s="89"/>
      <c r="F1010" s="89"/>
      <c r="G1010" s="89"/>
      <c r="H1010" s="89"/>
      <c r="I1010" s="89"/>
      <c r="J1010" s="89"/>
      <c r="K1010" s="89"/>
      <c r="L1010" s="89"/>
      <c r="M1010" s="89"/>
      <c r="N1010" s="90"/>
      <c r="O1010" s="90"/>
      <c r="P1010" s="90"/>
      <c r="Q1010" s="89"/>
    </row>
    <row r="1011" spans="1:17" ht="15.75" customHeight="1" x14ac:dyDescent="0.25">
      <c r="A1011" s="89"/>
      <c r="B1011" s="89"/>
      <c r="C1011" s="89"/>
      <c r="D1011" s="89"/>
      <c r="E1011" s="89"/>
      <c r="F1011" s="89"/>
      <c r="G1011" s="89"/>
      <c r="H1011" s="89"/>
      <c r="I1011" s="89"/>
      <c r="J1011" s="89"/>
      <c r="K1011" s="89"/>
      <c r="L1011" s="89"/>
      <c r="M1011" s="89"/>
      <c r="N1011" s="90"/>
      <c r="O1011" s="90"/>
      <c r="P1011" s="90"/>
      <c r="Q1011" s="89"/>
    </row>
    <row r="1012" spans="1:17" ht="15.75" customHeight="1" x14ac:dyDescent="0.25">
      <c r="A1012" s="89"/>
      <c r="B1012" s="89"/>
      <c r="C1012" s="89"/>
      <c r="D1012" s="89"/>
      <c r="E1012" s="89"/>
      <c r="F1012" s="89"/>
      <c r="G1012" s="89"/>
      <c r="H1012" s="89"/>
      <c r="I1012" s="89"/>
      <c r="J1012" s="89"/>
      <c r="K1012" s="89"/>
      <c r="L1012" s="89"/>
      <c r="M1012" s="89"/>
      <c r="N1012" s="90"/>
      <c r="O1012" s="90"/>
      <c r="P1012" s="90"/>
      <c r="Q1012" s="89"/>
    </row>
    <row r="1013" spans="1:17" ht="15.75" customHeight="1" x14ac:dyDescent="0.25">
      <c r="A1013" s="89"/>
      <c r="B1013" s="89"/>
      <c r="C1013" s="89"/>
      <c r="D1013" s="89"/>
      <c r="E1013" s="89"/>
      <c r="F1013" s="89"/>
      <c r="G1013" s="89"/>
      <c r="H1013" s="89"/>
      <c r="I1013" s="89"/>
      <c r="J1013" s="89"/>
      <c r="K1013" s="89"/>
      <c r="L1013" s="89"/>
      <c r="M1013" s="89"/>
      <c r="N1013" s="90"/>
      <c r="O1013" s="90"/>
      <c r="P1013" s="90"/>
      <c r="Q1013" s="89"/>
    </row>
    <row r="1014" spans="1:17" ht="15.75" customHeight="1" x14ac:dyDescent="0.25">
      <c r="A1014" s="89"/>
      <c r="B1014" s="89"/>
      <c r="C1014" s="89"/>
      <c r="D1014" s="89"/>
      <c r="E1014" s="89"/>
      <c r="F1014" s="89"/>
      <c r="G1014" s="89"/>
      <c r="H1014" s="89"/>
      <c r="I1014" s="89"/>
      <c r="J1014" s="89"/>
      <c r="K1014" s="89"/>
      <c r="L1014" s="89"/>
      <c r="M1014" s="89"/>
      <c r="N1014" s="90"/>
      <c r="O1014" s="90"/>
      <c r="P1014" s="90"/>
      <c r="Q1014" s="89"/>
    </row>
    <row r="1015" spans="1:17" ht="15.75" customHeight="1" x14ac:dyDescent="0.25">
      <c r="A1015" s="89"/>
      <c r="B1015" s="89"/>
      <c r="C1015" s="89"/>
      <c r="D1015" s="89"/>
      <c r="E1015" s="89"/>
      <c r="F1015" s="89"/>
      <c r="G1015" s="89"/>
      <c r="H1015" s="89"/>
      <c r="I1015" s="89"/>
      <c r="J1015" s="89"/>
      <c r="K1015" s="89"/>
      <c r="L1015" s="89"/>
      <c r="M1015" s="89"/>
      <c r="N1015" s="90"/>
      <c r="O1015" s="90"/>
      <c r="P1015" s="90"/>
      <c r="Q1015" s="89"/>
    </row>
    <row r="1016" spans="1:17" ht="15.75" customHeight="1" x14ac:dyDescent="0.25">
      <c r="A1016" s="89"/>
      <c r="B1016" s="89"/>
      <c r="C1016" s="89"/>
      <c r="D1016" s="89"/>
      <c r="E1016" s="89"/>
      <c r="F1016" s="89"/>
      <c r="G1016" s="89"/>
      <c r="H1016" s="89"/>
      <c r="I1016" s="89"/>
      <c r="J1016" s="89"/>
      <c r="K1016" s="89"/>
      <c r="L1016" s="89"/>
      <c r="M1016" s="89"/>
      <c r="N1016" s="90"/>
      <c r="O1016" s="90"/>
      <c r="P1016" s="90"/>
      <c r="Q1016" s="89"/>
    </row>
    <row r="1017" spans="1:17" ht="15.75" customHeight="1" x14ac:dyDescent="0.25">
      <c r="A1017" s="89"/>
      <c r="B1017" s="89"/>
      <c r="C1017" s="89"/>
      <c r="D1017" s="89"/>
      <c r="E1017" s="89"/>
      <c r="F1017" s="89"/>
      <c r="G1017" s="89"/>
      <c r="H1017" s="89"/>
      <c r="I1017" s="89"/>
      <c r="J1017" s="89"/>
      <c r="K1017" s="89"/>
      <c r="L1017" s="89"/>
      <c r="M1017" s="89"/>
      <c r="N1017" s="90"/>
      <c r="O1017" s="90"/>
      <c r="P1017" s="90"/>
      <c r="Q1017" s="89"/>
    </row>
    <row r="1018" spans="1:17" ht="15.75" customHeight="1" x14ac:dyDescent="0.25">
      <c r="A1018" s="89"/>
      <c r="B1018" s="89"/>
      <c r="C1018" s="89"/>
      <c r="D1018" s="89"/>
      <c r="E1018" s="89"/>
      <c r="F1018" s="89"/>
      <c r="G1018" s="89"/>
      <c r="H1018" s="89"/>
      <c r="I1018" s="89"/>
      <c r="J1018" s="89"/>
      <c r="K1018" s="89"/>
      <c r="L1018" s="89"/>
      <c r="M1018" s="89"/>
      <c r="N1018" s="90"/>
      <c r="O1018" s="90"/>
      <c r="P1018" s="90"/>
      <c r="Q1018" s="89"/>
    </row>
    <row r="1019" spans="1:17" ht="15.75" customHeight="1" x14ac:dyDescent="0.25">
      <c r="A1019" s="89"/>
      <c r="B1019" s="89"/>
      <c r="C1019" s="89"/>
      <c r="D1019" s="89"/>
      <c r="E1019" s="89"/>
      <c r="F1019" s="89"/>
      <c r="G1019" s="89"/>
      <c r="H1019" s="89"/>
      <c r="I1019" s="89"/>
      <c r="J1019" s="89"/>
      <c r="K1019" s="89"/>
      <c r="L1019" s="89"/>
      <c r="M1019" s="89"/>
      <c r="N1019" s="90"/>
      <c r="O1019" s="90"/>
      <c r="P1019" s="90"/>
      <c r="Q1019" s="89"/>
    </row>
    <row r="1020" spans="1:17" ht="15.75" customHeight="1" x14ac:dyDescent="0.25">
      <c r="A1020" s="89"/>
      <c r="B1020" s="89"/>
      <c r="C1020" s="89"/>
      <c r="D1020" s="89"/>
      <c r="E1020" s="89"/>
      <c r="F1020" s="89"/>
      <c r="G1020" s="89"/>
      <c r="H1020" s="89"/>
      <c r="I1020" s="89"/>
      <c r="J1020" s="89"/>
      <c r="K1020" s="89"/>
      <c r="L1020" s="89"/>
      <c r="M1020" s="89"/>
      <c r="N1020" s="90"/>
      <c r="O1020" s="90"/>
      <c r="P1020" s="90"/>
      <c r="Q1020" s="89"/>
    </row>
    <row r="1021" spans="1:17" ht="15.75" customHeight="1" x14ac:dyDescent="0.25">
      <c r="A1021" s="89"/>
      <c r="B1021" s="89"/>
      <c r="C1021" s="89"/>
      <c r="D1021" s="89"/>
      <c r="E1021" s="89"/>
      <c r="F1021" s="89"/>
      <c r="G1021" s="89"/>
      <c r="H1021" s="89"/>
      <c r="I1021" s="89"/>
      <c r="J1021" s="89"/>
      <c r="K1021" s="89"/>
      <c r="L1021" s="89"/>
      <c r="M1021" s="89"/>
      <c r="N1021" s="90"/>
      <c r="O1021" s="90"/>
      <c r="P1021" s="90"/>
      <c r="Q1021" s="89"/>
    </row>
    <row r="1022" spans="1:17" ht="15.75" customHeight="1" x14ac:dyDescent="0.25">
      <c r="A1022" s="89"/>
      <c r="B1022" s="89"/>
      <c r="C1022" s="89"/>
      <c r="D1022" s="89"/>
      <c r="E1022" s="89"/>
      <c r="F1022" s="89"/>
      <c r="G1022" s="89"/>
      <c r="H1022" s="89"/>
      <c r="I1022" s="89"/>
      <c r="J1022" s="89"/>
      <c r="K1022" s="89"/>
      <c r="L1022" s="89"/>
      <c r="M1022" s="89"/>
      <c r="N1022" s="90"/>
      <c r="O1022" s="90"/>
      <c r="P1022" s="90"/>
      <c r="Q1022" s="89"/>
    </row>
    <row r="1023" spans="1:17" ht="15.75" customHeight="1" x14ac:dyDescent="0.25">
      <c r="A1023" s="89"/>
      <c r="B1023" s="89"/>
      <c r="C1023" s="89"/>
      <c r="D1023" s="89"/>
      <c r="E1023" s="89"/>
      <c r="F1023" s="89"/>
      <c r="G1023" s="89"/>
      <c r="H1023" s="89"/>
      <c r="I1023" s="89"/>
      <c r="J1023" s="89"/>
      <c r="K1023" s="89"/>
      <c r="L1023" s="89"/>
      <c r="M1023" s="89"/>
      <c r="N1023" s="90"/>
      <c r="O1023" s="90"/>
      <c r="P1023" s="90"/>
      <c r="Q1023" s="89"/>
    </row>
    <row r="1024" spans="1:17" ht="15.75" customHeight="1" x14ac:dyDescent="0.25">
      <c r="A1024" s="89"/>
      <c r="B1024" s="89"/>
      <c r="C1024" s="89"/>
      <c r="D1024" s="89"/>
      <c r="E1024" s="89"/>
      <c r="F1024" s="89"/>
      <c r="G1024" s="89"/>
      <c r="H1024" s="89"/>
      <c r="I1024" s="89"/>
      <c r="J1024" s="89"/>
      <c r="K1024" s="89"/>
      <c r="L1024" s="89"/>
      <c r="M1024" s="89"/>
      <c r="N1024" s="90"/>
      <c r="O1024" s="90"/>
      <c r="P1024" s="90"/>
      <c r="Q1024" s="89"/>
    </row>
    <row r="1025" spans="1:17" ht="15.75" customHeight="1" x14ac:dyDescent="0.25">
      <c r="A1025" s="89"/>
      <c r="B1025" s="89"/>
      <c r="C1025" s="89"/>
      <c r="D1025" s="89"/>
      <c r="E1025" s="89"/>
      <c r="F1025" s="89"/>
      <c r="G1025" s="89"/>
      <c r="H1025" s="89"/>
      <c r="I1025" s="89"/>
      <c r="J1025" s="89"/>
      <c r="K1025" s="89"/>
      <c r="L1025" s="89"/>
      <c r="M1025" s="89"/>
      <c r="N1025" s="90"/>
      <c r="O1025" s="90"/>
      <c r="P1025" s="90"/>
      <c r="Q1025" s="89"/>
    </row>
    <row r="1026" spans="1:17" ht="15.75" customHeight="1" x14ac:dyDescent="0.25">
      <c r="A1026" s="89"/>
      <c r="B1026" s="89"/>
      <c r="C1026" s="89"/>
      <c r="D1026" s="89"/>
      <c r="E1026" s="89"/>
      <c r="F1026" s="89"/>
      <c r="G1026" s="89"/>
      <c r="H1026" s="89"/>
      <c r="I1026" s="89"/>
      <c r="J1026" s="89"/>
      <c r="K1026" s="89"/>
      <c r="L1026" s="89"/>
      <c r="M1026" s="89"/>
      <c r="N1026" s="90"/>
      <c r="O1026" s="90"/>
      <c r="P1026" s="90"/>
      <c r="Q1026" s="89"/>
    </row>
    <row r="1027" spans="1:17" ht="15.75" customHeight="1" x14ac:dyDescent="0.25">
      <c r="A1027" s="89"/>
      <c r="B1027" s="89"/>
      <c r="C1027" s="89"/>
      <c r="D1027" s="89"/>
      <c r="E1027" s="89"/>
      <c r="F1027" s="89"/>
      <c r="G1027" s="89"/>
      <c r="H1027" s="89"/>
      <c r="I1027" s="89"/>
      <c r="J1027" s="89"/>
      <c r="K1027" s="89"/>
      <c r="L1027" s="89"/>
      <c r="M1027" s="89"/>
      <c r="N1027" s="90"/>
      <c r="O1027" s="90"/>
      <c r="P1027" s="90"/>
      <c r="Q1027" s="89"/>
    </row>
    <row r="1028" spans="1:17" ht="15.75" customHeight="1" x14ac:dyDescent="0.25">
      <c r="A1028" s="89"/>
      <c r="B1028" s="89"/>
      <c r="C1028" s="89"/>
      <c r="D1028" s="89"/>
      <c r="E1028" s="89"/>
      <c r="F1028" s="89"/>
      <c r="G1028" s="89"/>
      <c r="H1028" s="89"/>
      <c r="I1028" s="89"/>
      <c r="J1028" s="89"/>
      <c r="K1028" s="89"/>
      <c r="L1028" s="89"/>
      <c r="M1028" s="89"/>
      <c r="N1028" s="90"/>
      <c r="O1028" s="90"/>
      <c r="P1028" s="90"/>
      <c r="Q1028" s="89"/>
    </row>
    <row r="1029" spans="1:17" ht="15.75" customHeight="1" x14ac:dyDescent="0.25">
      <c r="A1029" s="89"/>
      <c r="B1029" s="89"/>
      <c r="C1029" s="89"/>
      <c r="D1029" s="89"/>
      <c r="E1029" s="89"/>
      <c r="F1029" s="89"/>
      <c r="G1029" s="89"/>
      <c r="H1029" s="89"/>
      <c r="I1029" s="89"/>
      <c r="J1029" s="89"/>
      <c r="K1029" s="89"/>
      <c r="L1029" s="89"/>
      <c r="M1029" s="89"/>
      <c r="N1029" s="90"/>
      <c r="O1029" s="90"/>
      <c r="P1029" s="90"/>
      <c r="Q1029" s="89"/>
    </row>
    <row r="1030" spans="1:17" ht="15.75" customHeight="1" x14ac:dyDescent="0.25">
      <c r="A1030" s="89"/>
      <c r="B1030" s="89"/>
      <c r="C1030" s="89"/>
      <c r="D1030" s="89"/>
      <c r="E1030" s="89"/>
      <c r="F1030" s="89"/>
      <c r="G1030" s="89"/>
      <c r="H1030" s="89"/>
      <c r="I1030" s="89"/>
      <c r="J1030" s="89"/>
      <c r="K1030" s="89"/>
      <c r="L1030" s="89"/>
      <c r="M1030" s="89"/>
      <c r="N1030" s="90"/>
      <c r="O1030" s="90"/>
      <c r="P1030" s="90"/>
      <c r="Q1030" s="89"/>
    </row>
    <row r="1031" spans="1:17" ht="15.75" customHeight="1" x14ac:dyDescent="0.25">
      <c r="A1031" s="89"/>
      <c r="B1031" s="89"/>
      <c r="C1031" s="89"/>
      <c r="D1031" s="89"/>
      <c r="E1031" s="89"/>
      <c r="F1031" s="89"/>
      <c r="G1031" s="89"/>
      <c r="H1031" s="89"/>
      <c r="I1031" s="89"/>
      <c r="J1031" s="89"/>
      <c r="K1031" s="89"/>
      <c r="L1031" s="89"/>
      <c r="M1031" s="89"/>
      <c r="N1031" s="90"/>
      <c r="O1031" s="90"/>
      <c r="P1031" s="90"/>
      <c r="Q1031" s="89"/>
    </row>
    <row r="1032" spans="1:17" ht="15.75" customHeight="1" x14ac:dyDescent="0.25">
      <c r="A1032" s="89"/>
      <c r="B1032" s="89"/>
      <c r="C1032" s="89"/>
      <c r="D1032" s="89"/>
      <c r="E1032" s="89"/>
      <c r="F1032" s="89"/>
      <c r="G1032" s="89"/>
      <c r="H1032" s="89"/>
      <c r="I1032" s="89"/>
      <c r="J1032" s="89"/>
      <c r="K1032" s="89"/>
      <c r="L1032" s="89"/>
      <c r="M1032" s="89"/>
      <c r="N1032" s="90"/>
      <c r="O1032" s="90"/>
      <c r="P1032" s="90"/>
      <c r="Q1032" s="89"/>
    </row>
    <row r="1033" spans="1:17" ht="15.75" customHeight="1" x14ac:dyDescent="0.25">
      <c r="A1033" s="89"/>
      <c r="B1033" s="89"/>
      <c r="C1033" s="89"/>
      <c r="D1033" s="89"/>
      <c r="E1033" s="89"/>
      <c r="F1033" s="89"/>
      <c r="G1033" s="89"/>
      <c r="H1033" s="89"/>
      <c r="I1033" s="89"/>
      <c r="J1033" s="89"/>
      <c r="K1033" s="89"/>
      <c r="L1033" s="89"/>
      <c r="M1033" s="89"/>
      <c r="N1033" s="90"/>
      <c r="O1033" s="90"/>
      <c r="P1033" s="90"/>
      <c r="Q1033" s="89"/>
    </row>
    <row r="1034" spans="1:17" ht="15.75" customHeight="1" x14ac:dyDescent="0.25">
      <c r="A1034" s="89"/>
      <c r="B1034" s="89"/>
      <c r="C1034" s="89"/>
      <c r="D1034" s="89"/>
      <c r="E1034" s="89"/>
      <c r="F1034" s="89"/>
      <c r="G1034" s="89"/>
      <c r="H1034" s="89"/>
      <c r="I1034" s="89"/>
      <c r="J1034" s="89"/>
      <c r="K1034" s="89"/>
      <c r="L1034" s="89"/>
      <c r="M1034" s="89"/>
      <c r="N1034" s="90"/>
      <c r="O1034" s="90"/>
      <c r="P1034" s="90"/>
      <c r="Q1034" s="89"/>
    </row>
    <row r="1035" spans="1:17" ht="15.75" customHeight="1" x14ac:dyDescent="0.25">
      <c r="A1035" s="89"/>
      <c r="B1035" s="89"/>
      <c r="C1035" s="89"/>
      <c r="D1035" s="89"/>
      <c r="E1035" s="89"/>
      <c r="F1035" s="89"/>
      <c r="G1035" s="89"/>
      <c r="H1035" s="89"/>
      <c r="I1035" s="89"/>
      <c r="J1035" s="89"/>
      <c r="K1035" s="89"/>
      <c r="L1035" s="89"/>
      <c r="M1035" s="89"/>
      <c r="N1035" s="90"/>
      <c r="O1035" s="90"/>
      <c r="P1035" s="90"/>
      <c r="Q1035" s="89"/>
    </row>
    <row r="1036" spans="1:17" ht="15.75" customHeight="1" x14ac:dyDescent="0.25">
      <c r="A1036" s="89"/>
      <c r="B1036" s="89"/>
      <c r="C1036" s="89"/>
      <c r="D1036" s="89"/>
      <c r="E1036" s="89"/>
      <c r="F1036" s="89"/>
      <c r="G1036" s="89"/>
      <c r="H1036" s="89"/>
      <c r="I1036" s="89"/>
      <c r="J1036" s="89"/>
      <c r="K1036" s="89"/>
      <c r="L1036" s="89"/>
      <c r="M1036" s="89"/>
      <c r="N1036" s="90"/>
      <c r="O1036" s="90"/>
      <c r="P1036" s="90"/>
      <c r="Q1036" s="89"/>
    </row>
    <row r="1037" spans="1:17" ht="15.75" customHeight="1" x14ac:dyDescent="0.25">
      <c r="A1037" s="89"/>
      <c r="B1037" s="89"/>
      <c r="C1037" s="89"/>
      <c r="D1037" s="89"/>
      <c r="E1037" s="89"/>
      <c r="F1037" s="89"/>
      <c r="G1037" s="89"/>
      <c r="H1037" s="89"/>
      <c r="I1037" s="89"/>
      <c r="J1037" s="89"/>
      <c r="K1037" s="89"/>
      <c r="L1037" s="89"/>
      <c r="M1037" s="89"/>
      <c r="N1037" s="90"/>
      <c r="O1037" s="90"/>
      <c r="P1037" s="90"/>
      <c r="Q1037" s="89"/>
    </row>
    <row r="1038" spans="1:17" ht="15.75" customHeight="1" x14ac:dyDescent="0.25">
      <c r="A1038" s="89"/>
      <c r="B1038" s="89"/>
      <c r="C1038" s="89"/>
      <c r="D1038" s="89"/>
      <c r="E1038" s="89"/>
      <c r="F1038" s="89"/>
      <c r="G1038" s="89"/>
      <c r="H1038" s="89"/>
      <c r="I1038" s="89"/>
      <c r="J1038" s="89"/>
      <c r="K1038" s="89"/>
      <c r="L1038" s="89"/>
      <c r="M1038" s="89"/>
      <c r="N1038" s="90"/>
      <c r="O1038" s="90"/>
      <c r="P1038" s="90"/>
      <c r="Q1038" s="89"/>
    </row>
    <row r="1039" spans="1:17" ht="15.75" customHeight="1" x14ac:dyDescent="0.25">
      <c r="A1039" s="89"/>
      <c r="B1039" s="89"/>
      <c r="C1039" s="89"/>
      <c r="D1039" s="89"/>
      <c r="E1039" s="89"/>
      <c r="F1039" s="89"/>
      <c r="G1039" s="89"/>
      <c r="H1039" s="89"/>
      <c r="I1039" s="89"/>
      <c r="J1039" s="89"/>
      <c r="K1039" s="89"/>
      <c r="L1039" s="89"/>
      <c r="M1039" s="89"/>
      <c r="N1039" s="90"/>
      <c r="O1039" s="90"/>
      <c r="P1039" s="90"/>
      <c r="Q1039" s="89"/>
    </row>
    <row r="1040" spans="1:17" ht="15.75" customHeight="1" x14ac:dyDescent="0.25">
      <c r="A1040" s="89"/>
      <c r="B1040" s="89"/>
      <c r="C1040" s="89"/>
      <c r="D1040" s="89"/>
      <c r="E1040" s="89"/>
      <c r="F1040" s="89"/>
      <c r="G1040" s="89"/>
      <c r="H1040" s="89"/>
      <c r="I1040" s="89"/>
      <c r="J1040" s="89"/>
      <c r="K1040" s="89"/>
      <c r="L1040" s="89"/>
      <c r="M1040" s="89"/>
      <c r="N1040" s="90"/>
      <c r="O1040" s="90"/>
      <c r="P1040" s="90"/>
      <c r="Q1040" s="89"/>
    </row>
    <row r="1041" spans="1:17" ht="15.75" customHeight="1" x14ac:dyDescent="0.25">
      <c r="A1041" s="89"/>
      <c r="B1041" s="89"/>
      <c r="C1041" s="89"/>
      <c r="D1041" s="89"/>
      <c r="E1041" s="89"/>
      <c r="F1041" s="89"/>
      <c r="G1041" s="89"/>
      <c r="H1041" s="89"/>
      <c r="I1041" s="89"/>
      <c r="J1041" s="89"/>
      <c r="K1041" s="89"/>
      <c r="L1041" s="89"/>
      <c r="M1041" s="89"/>
      <c r="N1041" s="90"/>
      <c r="O1041" s="90"/>
      <c r="P1041" s="90"/>
      <c r="Q1041" s="89"/>
    </row>
    <row r="1042" spans="1:17" ht="15.75" customHeight="1" x14ac:dyDescent="0.25">
      <c r="A1042" s="89"/>
      <c r="B1042" s="89"/>
      <c r="C1042" s="89"/>
      <c r="D1042" s="89"/>
      <c r="E1042" s="89"/>
      <c r="F1042" s="89"/>
      <c r="G1042" s="89"/>
      <c r="H1042" s="89"/>
      <c r="I1042" s="89"/>
      <c r="J1042" s="89"/>
      <c r="K1042" s="89"/>
      <c r="L1042" s="89"/>
      <c r="M1042" s="89"/>
      <c r="N1042" s="90"/>
      <c r="O1042" s="90"/>
      <c r="P1042" s="90"/>
      <c r="Q1042" s="89"/>
    </row>
    <row r="1043" spans="1:17" ht="15.75" customHeight="1" x14ac:dyDescent="0.25">
      <c r="A1043" s="89"/>
      <c r="B1043" s="89"/>
      <c r="C1043" s="89"/>
      <c r="D1043" s="89"/>
      <c r="E1043" s="89"/>
      <c r="F1043" s="89"/>
      <c r="G1043" s="89"/>
      <c r="H1043" s="89"/>
      <c r="I1043" s="89"/>
      <c r="J1043" s="89"/>
      <c r="K1043" s="89"/>
      <c r="L1043" s="89"/>
      <c r="M1043" s="89"/>
      <c r="N1043" s="90"/>
      <c r="O1043" s="90"/>
      <c r="P1043" s="90"/>
      <c r="Q1043" s="89"/>
    </row>
    <row r="1044" spans="1:17" ht="15.75" customHeight="1" x14ac:dyDescent="0.25">
      <c r="A1044" s="89"/>
      <c r="B1044" s="89"/>
      <c r="C1044" s="89"/>
      <c r="D1044" s="89"/>
      <c r="E1044" s="89"/>
      <c r="F1044" s="89"/>
      <c r="G1044" s="89"/>
      <c r="H1044" s="89"/>
      <c r="I1044" s="89"/>
      <c r="J1044" s="89"/>
      <c r="K1044" s="89"/>
      <c r="L1044" s="89"/>
      <c r="M1044" s="89"/>
      <c r="N1044" s="90"/>
      <c r="O1044" s="90"/>
      <c r="P1044" s="90"/>
      <c r="Q1044" s="89"/>
    </row>
    <row r="1045" spans="1:17" ht="15.75" customHeight="1" x14ac:dyDescent="0.25">
      <c r="A1045" s="89"/>
      <c r="B1045" s="89"/>
      <c r="C1045" s="89"/>
      <c r="D1045" s="89"/>
      <c r="E1045" s="89"/>
      <c r="F1045" s="89"/>
      <c r="G1045" s="89"/>
      <c r="H1045" s="89"/>
      <c r="I1045" s="89"/>
      <c r="J1045" s="89"/>
      <c r="K1045" s="89"/>
      <c r="L1045" s="89"/>
      <c r="M1045" s="89"/>
      <c r="N1045" s="90"/>
      <c r="O1045" s="90"/>
      <c r="P1045" s="90"/>
      <c r="Q1045" s="89"/>
    </row>
    <row r="1046" spans="1:17" ht="15.75" customHeight="1" x14ac:dyDescent="0.25">
      <c r="A1046" s="89"/>
      <c r="B1046" s="89"/>
      <c r="C1046" s="89"/>
      <c r="D1046" s="89"/>
      <c r="E1046" s="89"/>
      <c r="F1046" s="89"/>
      <c r="G1046" s="89"/>
      <c r="H1046" s="89"/>
      <c r="I1046" s="89"/>
      <c r="J1046" s="89"/>
      <c r="K1046" s="89"/>
      <c r="L1046" s="89"/>
      <c r="M1046" s="89"/>
      <c r="N1046" s="90"/>
      <c r="O1046" s="90"/>
      <c r="P1046" s="90"/>
      <c r="Q1046" s="89"/>
    </row>
    <row r="1047" spans="1:17" ht="15.75" customHeight="1" x14ac:dyDescent="0.25">
      <c r="A1047" s="89"/>
      <c r="B1047" s="89"/>
      <c r="C1047" s="89"/>
      <c r="D1047" s="89"/>
      <c r="E1047" s="89"/>
      <c r="F1047" s="89"/>
      <c r="G1047" s="89"/>
      <c r="H1047" s="89"/>
      <c r="I1047" s="89"/>
      <c r="J1047" s="89"/>
      <c r="K1047" s="89"/>
      <c r="L1047" s="89"/>
      <c r="M1047" s="89"/>
      <c r="N1047" s="90"/>
      <c r="O1047" s="90"/>
      <c r="P1047" s="90"/>
      <c r="Q1047" s="89"/>
    </row>
    <row r="1048" spans="1:17" ht="15.75" customHeight="1" x14ac:dyDescent="0.25">
      <c r="A1048" s="89"/>
      <c r="B1048" s="89"/>
      <c r="C1048" s="89"/>
      <c r="D1048" s="89"/>
      <c r="E1048" s="89"/>
      <c r="F1048" s="89"/>
      <c r="G1048" s="89"/>
      <c r="H1048" s="89"/>
      <c r="I1048" s="89"/>
      <c r="J1048" s="89"/>
      <c r="K1048" s="89"/>
      <c r="L1048" s="89"/>
      <c r="M1048" s="89"/>
      <c r="N1048" s="90"/>
      <c r="O1048" s="90"/>
      <c r="P1048" s="90"/>
      <c r="Q1048" s="89"/>
    </row>
    <row r="1049" spans="1:17" ht="15.75" customHeight="1" x14ac:dyDescent="0.25">
      <c r="A1049" s="89"/>
      <c r="B1049" s="89"/>
      <c r="C1049" s="89"/>
      <c r="D1049" s="89"/>
      <c r="E1049" s="89"/>
      <c r="F1049" s="89"/>
      <c r="G1049" s="89"/>
      <c r="H1049" s="89"/>
      <c r="I1049" s="89"/>
      <c r="J1049" s="89"/>
      <c r="K1049" s="89"/>
      <c r="L1049" s="89"/>
      <c r="M1049" s="89"/>
      <c r="N1049" s="90"/>
      <c r="O1049" s="90"/>
      <c r="P1049" s="90"/>
      <c r="Q1049" s="89"/>
    </row>
    <row r="1050" spans="1:17" ht="15.75" customHeight="1" x14ac:dyDescent="0.25">
      <c r="A1050" s="89"/>
      <c r="B1050" s="89"/>
      <c r="C1050" s="89"/>
      <c r="D1050" s="89"/>
      <c r="E1050" s="89"/>
      <c r="F1050" s="89"/>
      <c r="G1050" s="89"/>
      <c r="H1050" s="89"/>
      <c r="I1050" s="89"/>
      <c r="J1050" s="89"/>
      <c r="K1050" s="89"/>
      <c r="L1050" s="89"/>
      <c r="M1050" s="89"/>
      <c r="N1050" s="90"/>
      <c r="O1050" s="90"/>
      <c r="P1050" s="90"/>
      <c r="Q1050" s="89"/>
    </row>
    <row r="1051" spans="1:17" ht="15.75" customHeight="1" x14ac:dyDescent="0.25">
      <c r="A1051" s="89"/>
      <c r="B1051" s="89"/>
      <c r="C1051" s="89"/>
      <c r="D1051" s="89"/>
      <c r="E1051" s="89"/>
      <c r="F1051" s="89"/>
      <c r="G1051" s="89"/>
      <c r="H1051" s="89"/>
      <c r="I1051" s="89"/>
      <c r="J1051" s="89"/>
      <c r="K1051" s="89"/>
      <c r="L1051" s="89"/>
      <c r="M1051" s="89"/>
      <c r="N1051" s="90"/>
      <c r="O1051" s="90"/>
      <c r="P1051" s="90"/>
      <c r="Q1051" s="89"/>
    </row>
    <row r="1052" spans="1:17" ht="15.75" customHeight="1" x14ac:dyDescent="0.25">
      <c r="A1052" s="89"/>
      <c r="B1052" s="89"/>
      <c r="C1052" s="89"/>
      <c r="D1052" s="89"/>
      <c r="E1052" s="89"/>
      <c r="F1052" s="89"/>
      <c r="G1052" s="89"/>
      <c r="H1052" s="89"/>
      <c r="I1052" s="89"/>
      <c r="J1052" s="89"/>
      <c r="K1052" s="89"/>
      <c r="L1052" s="89"/>
      <c r="M1052" s="89"/>
      <c r="N1052" s="90"/>
      <c r="O1052" s="90"/>
      <c r="P1052" s="90"/>
      <c r="Q1052" s="89"/>
    </row>
    <row r="1053" spans="1:17" ht="15.75" customHeight="1" x14ac:dyDescent="0.25">
      <c r="A1053" s="89"/>
      <c r="B1053" s="89"/>
      <c r="C1053" s="89"/>
      <c r="D1053" s="89"/>
      <c r="E1053" s="89"/>
      <c r="F1053" s="89"/>
      <c r="G1053" s="89"/>
      <c r="H1053" s="89"/>
      <c r="I1053" s="89"/>
      <c r="J1053" s="89"/>
      <c r="K1053" s="89"/>
      <c r="L1053" s="89"/>
      <c r="M1053" s="89"/>
      <c r="N1053" s="90"/>
      <c r="O1053" s="90"/>
      <c r="P1053" s="90"/>
      <c r="Q1053" s="89"/>
    </row>
    <row r="1054" spans="1:17" ht="15.75" customHeight="1" x14ac:dyDescent="0.25">
      <c r="A1054" s="89"/>
      <c r="B1054" s="89"/>
      <c r="C1054" s="89"/>
      <c r="D1054" s="89"/>
      <c r="E1054" s="89"/>
      <c r="F1054" s="89"/>
      <c r="G1054" s="89"/>
      <c r="H1054" s="89"/>
      <c r="I1054" s="89"/>
      <c r="J1054" s="89"/>
      <c r="K1054" s="89"/>
      <c r="L1054" s="89"/>
      <c r="M1054" s="89"/>
      <c r="N1054" s="90"/>
      <c r="O1054" s="90"/>
      <c r="P1054" s="90"/>
      <c r="Q1054" s="89"/>
    </row>
    <row r="1055" spans="1:17" ht="15.75" customHeight="1" x14ac:dyDescent="0.25">
      <c r="A1055" s="89"/>
      <c r="B1055" s="89"/>
      <c r="C1055" s="89"/>
      <c r="D1055" s="89"/>
      <c r="E1055" s="89"/>
      <c r="F1055" s="89"/>
      <c r="G1055" s="89"/>
      <c r="H1055" s="89"/>
      <c r="I1055" s="89"/>
      <c r="J1055" s="89"/>
      <c r="K1055" s="89"/>
      <c r="L1055" s="89"/>
      <c r="M1055" s="89"/>
      <c r="N1055" s="90"/>
      <c r="O1055" s="90"/>
      <c r="P1055" s="90"/>
      <c r="Q1055" s="89"/>
    </row>
    <row r="1056" spans="1:17" ht="15.75" customHeight="1" x14ac:dyDescent="0.25">
      <c r="A1056" s="89"/>
      <c r="B1056" s="89"/>
      <c r="C1056" s="89"/>
      <c r="D1056" s="89"/>
      <c r="E1056" s="89"/>
      <c r="F1056" s="89"/>
      <c r="G1056" s="89"/>
      <c r="H1056" s="89"/>
      <c r="I1056" s="89"/>
      <c r="J1056" s="89"/>
      <c r="K1056" s="89"/>
      <c r="L1056" s="89"/>
      <c r="M1056" s="89"/>
      <c r="N1056" s="90"/>
      <c r="O1056" s="90"/>
      <c r="P1056" s="90"/>
      <c r="Q1056" s="89"/>
    </row>
    <row r="1057" spans="1:17" ht="15.75" customHeight="1" x14ac:dyDescent="0.25">
      <c r="A1057" s="89"/>
      <c r="B1057" s="89"/>
      <c r="C1057" s="89"/>
      <c r="D1057" s="89"/>
      <c r="E1057" s="89"/>
      <c r="F1057" s="89"/>
      <c r="G1057" s="89"/>
      <c r="H1057" s="89"/>
      <c r="I1057" s="89"/>
      <c r="J1057" s="89"/>
      <c r="K1057" s="89"/>
      <c r="L1057" s="89"/>
      <c r="M1057" s="89"/>
      <c r="N1057" s="90"/>
      <c r="O1057" s="90"/>
      <c r="P1057" s="90"/>
      <c r="Q1057" s="89"/>
    </row>
    <row r="1058" spans="1:17" ht="15.75" customHeight="1" x14ac:dyDescent="0.25">
      <c r="A1058" s="89"/>
      <c r="B1058" s="89"/>
      <c r="C1058" s="89"/>
      <c r="D1058" s="89"/>
      <c r="E1058" s="89"/>
      <c r="F1058" s="89"/>
      <c r="G1058" s="89"/>
      <c r="H1058" s="89"/>
      <c r="I1058" s="89"/>
      <c r="J1058" s="89"/>
      <c r="K1058" s="89"/>
      <c r="L1058" s="89"/>
      <c r="M1058" s="89"/>
      <c r="N1058" s="90"/>
      <c r="O1058" s="90"/>
      <c r="P1058" s="90"/>
      <c r="Q1058" s="89"/>
    </row>
    <row r="1059" spans="1:17" ht="15.75" customHeight="1" x14ac:dyDescent="0.25">
      <c r="A1059" s="89"/>
      <c r="B1059" s="89"/>
      <c r="C1059" s="89"/>
      <c r="D1059" s="89"/>
      <c r="E1059" s="89"/>
      <c r="F1059" s="89"/>
      <c r="G1059" s="89"/>
      <c r="H1059" s="89"/>
      <c r="I1059" s="89"/>
      <c r="J1059" s="89"/>
      <c r="K1059" s="89"/>
      <c r="L1059" s="89"/>
      <c r="M1059" s="89"/>
      <c r="N1059" s="90"/>
      <c r="O1059" s="90"/>
      <c r="P1059" s="90"/>
      <c r="Q1059" s="89"/>
    </row>
    <row r="1060" spans="1:17" ht="15.75" customHeight="1" x14ac:dyDescent="0.25">
      <c r="A1060" s="89"/>
      <c r="B1060" s="89"/>
      <c r="C1060" s="89"/>
      <c r="D1060" s="89"/>
      <c r="E1060" s="89"/>
      <c r="F1060" s="89"/>
      <c r="G1060" s="89"/>
      <c r="H1060" s="89"/>
      <c r="I1060" s="89"/>
      <c r="J1060" s="89"/>
      <c r="K1060" s="89"/>
      <c r="L1060" s="89"/>
      <c r="M1060" s="89"/>
      <c r="N1060" s="90"/>
      <c r="O1060" s="90"/>
      <c r="P1060" s="90"/>
      <c r="Q1060" s="89"/>
    </row>
    <row r="1061" spans="1:17" ht="15.75" customHeight="1" x14ac:dyDescent="0.25">
      <c r="A1061" s="89"/>
      <c r="B1061" s="89"/>
      <c r="C1061" s="89"/>
      <c r="D1061" s="89"/>
      <c r="E1061" s="89"/>
      <c r="F1061" s="89"/>
      <c r="G1061" s="89"/>
      <c r="H1061" s="89"/>
      <c r="I1061" s="89"/>
      <c r="J1061" s="89"/>
      <c r="K1061" s="89"/>
      <c r="L1061" s="89"/>
      <c r="M1061" s="89"/>
      <c r="N1061" s="90"/>
      <c r="O1061" s="90"/>
      <c r="P1061" s="90"/>
      <c r="Q1061" s="89"/>
    </row>
    <row r="1062" spans="1:17" ht="15.75" customHeight="1" x14ac:dyDescent="0.25">
      <c r="A1062" s="89"/>
      <c r="B1062" s="89"/>
      <c r="C1062" s="89"/>
      <c r="D1062" s="89"/>
      <c r="E1062" s="89"/>
      <c r="F1062" s="89"/>
      <c r="G1062" s="89"/>
      <c r="H1062" s="89"/>
      <c r="I1062" s="89"/>
      <c r="J1062" s="89"/>
      <c r="K1062" s="89"/>
      <c r="L1062" s="89"/>
      <c r="M1062" s="89"/>
      <c r="N1062" s="90"/>
      <c r="O1062" s="90"/>
      <c r="P1062" s="90"/>
      <c r="Q1062" s="89"/>
    </row>
    <row r="1063" spans="1:17" ht="15.75" customHeight="1" x14ac:dyDescent="0.25">
      <c r="A1063" s="89"/>
      <c r="B1063" s="89"/>
      <c r="C1063" s="89"/>
      <c r="D1063" s="89"/>
      <c r="E1063" s="89"/>
      <c r="F1063" s="89"/>
      <c r="G1063" s="89"/>
      <c r="H1063" s="89"/>
      <c r="I1063" s="89"/>
      <c r="J1063" s="89"/>
      <c r="K1063" s="89"/>
      <c r="L1063" s="89"/>
      <c r="M1063" s="89"/>
      <c r="N1063" s="90"/>
      <c r="O1063" s="90"/>
      <c r="P1063" s="90"/>
      <c r="Q1063" s="89"/>
    </row>
    <row r="1064" spans="1:17" ht="15.75" customHeight="1" x14ac:dyDescent="0.25">
      <c r="A1064" s="89"/>
      <c r="B1064" s="89"/>
      <c r="C1064" s="89"/>
      <c r="D1064" s="89"/>
      <c r="E1064" s="89"/>
      <c r="F1064" s="89"/>
      <c r="G1064" s="89"/>
      <c r="H1064" s="89"/>
      <c r="I1064" s="89"/>
      <c r="J1064" s="89"/>
      <c r="K1064" s="89"/>
      <c r="L1064" s="89"/>
      <c r="M1064" s="89"/>
      <c r="N1064" s="90"/>
      <c r="O1064" s="90"/>
      <c r="P1064" s="90"/>
      <c r="Q1064" s="89"/>
    </row>
    <row r="1065" spans="1:17" ht="15.75" customHeight="1" x14ac:dyDescent="0.25">
      <c r="A1065" s="89"/>
      <c r="B1065" s="89"/>
      <c r="C1065" s="89"/>
      <c r="D1065" s="89"/>
      <c r="E1065" s="89"/>
      <c r="F1065" s="89"/>
      <c r="G1065" s="89"/>
      <c r="H1065" s="89"/>
      <c r="I1065" s="89"/>
      <c r="J1065" s="89"/>
      <c r="K1065" s="89"/>
      <c r="L1065" s="89"/>
      <c r="M1065" s="89"/>
      <c r="N1065" s="90"/>
      <c r="O1065" s="90"/>
      <c r="P1065" s="90"/>
      <c r="Q1065" s="89"/>
    </row>
    <row r="1066" spans="1:17" ht="15.75" customHeight="1" x14ac:dyDescent="0.25">
      <c r="A1066" s="89"/>
      <c r="B1066" s="89"/>
      <c r="C1066" s="89"/>
      <c r="D1066" s="89"/>
      <c r="E1066" s="89"/>
      <c r="F1066" s="89"/>
      <c r="G1066" s="89"/>
      <c r="H1066" s="89"/>
      <c r="I1066" s="89"/>
      <c r="J1066" s="89"/>
      <c r="K1066" s="89"/>
      <c r="L1066" s="89"/>
      <c r="M1066" s="89"/>
      <c r="N1066" s="90"/>
      <c r="O1066" s="90"/>
      <c r="P1066" s="90"/>
      <c r="Q1066" s="89"/>
    </row>
    <row r="1067" spans="1:17" ht="15.75" customHeight="1" x14ac:dyDescent="0.25">
      <c r="A1067" s="89"/>
      <c r="B1067" s="89"/>
      <c r="C1067" s="89"/>
      <c r="D1067" s="89"/>
      <c r="E1067" s="89"/>
      <c r="F1067" s="89"/>
      <c r="G1067" s="89"/>
      <c r="H1067" s="89"/>
      <c r="I1067" s="89"/>
      <c r="J1067" s="89"/>
      <c r="K1067" s="89"/>
      <c r="L1067" s="89"/>
      <c r="M1067" s="89"/>
      <c r="N1067" s="90"/>
      <c r="O1067" s="90"/>
      <c r="P1067" s="90"/>
      <c r="Q1067" s="89"/>
    </row>
    <row r="1068" spans="1:17" ht="15.75" customHeight="1" x14ac:dyDescent="0.25">
      <c r="A1068" s="89"/>
      <c r="B1068" s="89"/>
      <c r="C1068" s="89"/>
      <c r="D1068" s="89"/>
      <c r="E1068" s="89"/>
      <c r="F1068" s="89"/>
      <c r="G1068" s="89"/>
      <c r="H1068" s="89"/>
      <c r="I1068" s="89"/>
      <c r="J1068" s="89"/>
      <c r="K1068" s="89"/>
      <c r="L1068" s="89"/>
      <c r="M1068" s="89"/>
      <c r="N1068" s="90"/>
      <c r="O1068" s="90"/>
      <c r="P1068" s="90"/>
      <c r="Q1068" s="89"/>
    </row>
    <row r="1069" spans="1:17" ht="15.75" customHeight="1" x14ac:dyDescent="0.25">
      <c r="A1069" s="89"/>
      <c r="B1069" s="89"/>
      <c r="C1069" s="89"/>
      <c r="D1069" s="89"/>
      <c r="E1069" s="89"/>
      <c r="F1069" s="89"/>
      <c r="G1069" s="89"/>
      <c r="H1069" s="89"/>
      <c r="I1069" s="89"/>
      <c r="J1069" s="89"/>
      <c r="K1069" s="89"/>
      <c r="L1069" s="89"/>
      <c r="M1069" s="89"/>
      <c r="N1069" s="90"/>
      <c r="O1069" s="90"/>
      <c r="P1069" s="90"/>
      <c r="Q1069" s="89"/>
    </row>
    <row r="1070" spans="1:17" ht="15.75" customHeight="1" x14ac:dyDescent="0.25">
      <c r="A1070" s="89"/>
      <c r="B1070" s="89"/>
      <c r="C1070" s="89"/>
      <c r="D1070" s="89"/>
      <c r="E1070" s="89"/>
      <c r="F1070" s="89"/>
      <c r="G1070" s="89"/>
      <c r="H1070" s="89"/>
      <c r="I1070" s="89"/>
      <c r="J1070" s="89"/>
      <c r="K1070" s="89"/>
      <c r="L1070" s="89"/>
      <c r="M1070" s="89"/>
      <c r="N1070" s="90"/>
      <c r="O1070" s="90"/>
      <c r="P1070" s="90"/>
      <c r="Q1070" s="89"/>
    </row>
    <row r="1071" spans="1:17" ht="15.75" customHeight="1" x14ac:dyDescent="0.25">
      <c r="A1071" s="89"/>
      <c r="B1071" s="89"/>
      <c r="C1071" s="89"/>
      <c r="D1071" s="89"/>
      <c r="E1071" s="89"/>
      <c r="F1071" s="89"/>
      <c r="G1071" s="89"/>
      <c r="H1071" s="89"/>
      <c r="I1071" s="89"/>
      <c r="J1071" s="89"/>
      <c r="K1071" s="89"/>
      <c r="L1071" s="89"/>
      <c r="M1071" s="89"/>
      <c r="N1071" s="90"/>
      <c r="O1071" s="90"/>
      <c r="P1071" s="90"/>
      <c r="Q1071" s="89"/>
    </row>
    <row r="1072" spans="1:17" ht="15.75" customHeight="1" x14ac:dyDescent="0.25">
      <c r="A1072" s="89"/>
      <c r="B1072" s="89"/>
      <c r="C1072" s="89"/>
      <c r="D1072" s="89"/>
      <c r="E1072" s="89"/>
      <c r="F1072" s="89"/>
      <c r="G1072" s="89"/>
      <c r="H1072" s="89"/>
      <c r="I1072" s="89"/>
      <c r="J1072" s="89"/>
      <c r="K1072" s="89"/>
      <c r="L1072" s="89"/>
      <c r="M1072" s="89"/>
      <c r="N1072" s="90"/>
      <c r="O1072" s="90"/>
      <c r="P1072" s="90"/>
      <c r="Q1072" s="89"/>
    </row>
    <row r="1073" spans="1:17" ht="15.75" customHeight="1" x14ac:dyDescent="0.25">
      <c r="A1073" s="89"/>
      <c r="B1073" s="89"/>
      <c r="C1073" s="89"/>
      <c r="D1073" s="89"/>
      <c r="E1073" s="89"/>
      <c r="F1073" s="89"/>
      <c r="G1073" s="89"/>
      <c r="H1073" s="89"/>
      <c r="I1073" s="89"/>
      <c r="J1073" s="89"/>
      <c r="K1073" s="89"/>
      <c r="L1073" s="89"/>
      <c r="M1073" s="89"/>
      <c r="N1073" s="90"/>
      <c r="O1073" s="90"/>
      <c r="P1073" s="90"/>
      <c r="Q1073" s="89"/>
    </row>
    <row r="1074" spans="1:17" ht="15.75" customHeight="1" x14ac:dyDescent="0.25">
      <c r="A1074" s="89"/>
      <c r="B1074" s="89"/>
      <c r="C1074" s="89"/>
      <c r="D1074" s="89"/>
      <c r="E1074" s="89"/>
      <c r="F1074" s="89"/>
      <c r="G1074" s="89"/>
      <c r="H1074" s="89"/>
      <c r="I1074" s="89"/>
      <c r="J1074" s="89"/>
      <c r="K1074" s="89"/>
      <c r="L1074" s="89"/>
      <c r="M1074" s="89"/>
      <c r="N1074" s="90"/>
      <c r="O1074" s="90"/>
      <c r="P1074" s="90"/>
      <c r="Q1074" s="89"/>
    </row>
    <row r="1075" spans="1:17" ht="15.75" customHeight="1" x14ac:dyDescent="0.25">
      <c r="A1075" s="89"/>
      <c r="B1075" s="89"/>
      <c r="C1075" s="89"/>
      <c r="D1075" s="89"/>
      <c r="E1075" s="89"/>
      <c r="F1075" s="89"/>
      <c r="G1075" s="89"/>
      <c r="H1075" s="89"/>
      <c r="I1075" s="89"/>
      <c r="J1075" s="89"/>
      <c r="K1075" s="89"/>
      <c r="L1075" s="89"/>
      <c r="M1075" s="89"/>
      <c r="N1075" s="90"/>
      <c r="O1075" s="90"/>
      <c r="P1075" s="90"/>
      <c r="Q1075" s="89"/>
    </row>
    <row r="1076" spans="1:17" ht="15.75" customHeight="1" x14ac:dyDescent="0.25">
      <c r="A1076" s="89"/>
      <c r="B1076" s="89"/>
      <c r="C1076" s="89"/>
      <c r="D1076" s="89"/>
      <c r="E1076" s="89"/>
      <c r="F1076" s="89"/>
      <c r="G1076" s="89"/>
      <c r="H1076" s="89"/>
      <c r="I1076" s="89"/>
      <c r="J1076" s="89"/>
      <c r="K1076" s="89"/>
      <c r="L1076" s="89"/>
      <c r="M1076" s="89"/>
      <c r="N1076" s="90"/>
      <c r="O1076" s="90"/>
      <c r="P1076" s="90"/>
      <c r="Q1076" s="89"/>
    </row>
    <row r="1077" spans="1:17" ht="15.75" customHeight="1" x14ac:dyDescent="0.25">
      <c r="A1077" s="89"/>
      <c r="B1077" s="89"/>
      <c r="C1077" s="89"/>
      <c r="D1077" s="89"/>
      <c r="E1077" s="89"/>
      <c r="F1077" s="89"/>
      <c r="G1077" s="89"/>
      <c r="H1077" s="89"/>
      <c r="I1077" s="89"/>
      <c r="J1077" s="89"/>
      <c r="K1077" s="89"/>
      <c r="L1077" s="89"/>
      <c r="M1077" s="89"/>
      <c r="N1077" s="90"/>
      <c r="O1077" s="90"/>
      <c r="P1077" s="90"/>
      <c r="Q1077" s="89"/>
    </row>
    <row r="1078" spans="1:17" ht="15.75" customHeight="1" x14ac:dyDescent="0.25">
      <c r="A1078" s="89"/>
      <c r="B1078" s="89"/>
      <c r="C1078" s="89"/>
      <c r="D1078" s="89"/>
      <c r="E1078" s="89"/>
      <c r="F1078" s="89"/>
      <c r="G1078" s="89"/>
      <c r="H1078" s="89"/>
      <c r="I1078" s="89"/>
      <c r="J1078" s="89"/>
      <c r="K1078" s="89"/>
      <c r="L1078" s="89"/>
      <c r="M1078" s="89"/>
      <c r="N1078" s="90"/>
      <c r="O1078" s="90"/>
      <c r="P1078" s="90"/>
      <c r="Q1078" s="89"/>
    </row>
    <row r="1079" spans="1:17" ht="15.75" customHeight="1" x14ac:dyDescent="0.25">
      <c r="A1079" s="89"/>
      <c r="B1079" s="89"/>
      <c r="C1079" s="89"/>
      <c r="D1079" s="89"/>
      <c r="E1079" s="89"/>
      <c r="F1079" s="89"/>
      <c r="G1079" s="89"/>
      <c r="H1079" s="89"/>
      <c r="I1079" s="89"/>
      <c r="J1079" s="89"/>
      <c r="K1079" s="89"/>
      <c r="L1079" s="89"/>
      <c r="M1079" s="89"/>
      <c r="N1079" s="90"/>
      <c r="O1079" s="90"/>
      <c r="P1079" s="90"/>
      <c r="Q1079" s="89"/>
    </row>
    <row r="1080" spans="1:17" ht="15.75" customHeight="1" x14ac:dyDescent="0.25">
      <c r="A1080" s="89"/>
      <c r="B1080" s="89"/>
      <c r="C1080" s="89"/>
      <c r="D1080" s="89"/>
      <c r="E1080" s="89"/>
      <c r="F1080" s="89"/>
      <c r="G1080" s="89"/>
      <c r="H1080" s="89"/>
      <c r="I1080" s="89"/>
      <c r="J1080" s="89"/>
      <c r="K1080" s="89"/>
      <c r="L1080" s="89"/>
      <c r="M1080" s="89"/>
      <c r="N1080" s="90"/>
      <c r="O1080" s="90"/>
      <c r="P1080" s="90"/>
      <c r="Q1080" s="89"/>
    </row>
    <row r="1081" spans="1:17" ht="15.75" customHeight="1" x14ac:dyDescent="0.25">
      <c r="A1081" s="89"/>
      <c r="B1081" s="89"/>
      <c r="C1081" s="89"/>
      <c r="D1081" s="89"/>
      <c r="E1081" s="89"/>
      <c r="F1081" s="89"/>
      <c r="G1081" s="89"/>
      <c r="H1081" s="89"/>
      <c r="I1081" s="89"/>
      <c r="J1081" s="89"/>
      <c r="K1081" s="89"/>
      <c r="L1081" s="89"/>
      <c r="M1081" s="89"/>
      <c r="N1081" s="90"/>
      <c r="O1081" s="90"/>
      <c r="P1081" s="90"/>
      <c r="Q1081" s="89"/>
    </row>
    <row r="1082" spans="1:17" ht="15.75" customHeight="1" x14ac:dyDescent="0.25">
      <c r="A1082" s="89"/>
      <c r="B1082" s="89"/>
      <c r="C1082" s="89"/>
      <c r="D1082" s="89"/>
      <c r="E1082" s="89"/>
      <c r="F1082" s="89"/>
      <c r="G1082" s="89"/>
      <c r="H1082" s="89"/>
      <c r="I1082" s="89"/>
      <c r="J1082" s="89"/>
      <c r="K1082" s="89"/>
      <c r="L1082" s="89"/>
      <c r="M1082" s="89"/>
      <c r="N1082" s="90"/>
      <c r="O1082" s="90"/>
      <c r="P1082" s="90"/>
      <c r="Q1082" s="89"/>
    </row>
    <row r="1083" spans="1:17" ht="15.75" customHeight="1" x14ac:dyDescent="0.25">
      <c r="A1083" s="89"/>
      <c r="B1083" s="89"/>
      <c r="C1083" s="89"/>
      <c r="D1083" s="89"/>
      <c r="E1083" s="89"/>
      <c r="F1083" s="89"/>
      <c r="G1083" s="89"/>
      <c r="H1083" s="89"/>
      <c r="I1083" s="89"/>
      <c r="J1083" s="89"/>
      <c r="K1083" s="89"/>
      <c r="L1083" s="89"/>
      <c r="M1083" s="89"/>
      <c r="N1083" s="90"/>
      <c r="O1083" s="90"/>
      <c r="P1083" s="90"/>
      <c r="Q1083" s="89"/>
    </row>
    <row r="1084" spans="1:17" ht="15.75" customHeight="1" x14ac:dyDescent="0.25">
      <c r="A1084" s="89"/>
      <c r="B1084" s="89"/>
      <c r="C1084" s="89"/>
      <c r="D1084" s="89"/>
      <c r="E1084" s="89"/>
      <c r="F1084" s="89"/>
      <c r="G1084" s="89"/>
      <c r="H1084" s="89"/>
      <c r="I1084" s="89"/>
      <c r="J1084" s="89"/>
      <c r="K1084" s="89"/>
      <c r="L1084" s="89"/>
      <c r="M1084" s="89"/>
      <c r="N1084" s="90"/>
      <c r="O1084" s="90"/>
      <c r="P1084" s="90"/>
      <c r="Q1084" s="89"/>
    </row>
    <row r="1085" spans="1:17" ht="15.75" customHeight="1" x14ac:dyDescent="0.25">
      <c r="A1085" s="89"/>
      <c r="B1085" s="89"/>
      <c r="C1085" s="89"/>
      <c r="D1085" s="89"/>
      <c r="E1085" s="89"/>
      <c r="F1085" s="89"/>
      <c r="G1085" s="89"/>
      <c r="H1085" s="89"/>
      <c r="I1085" s="89"/>
      <c r="J1085" s="89"/>
      <c r="K1085" s="89"/>
      <c r="L1085" s="89"/>
      <c r="M1085" s="89"/>
      <c r="N1085" s="90"/>
      <c r="O1085" s="90"/>
      <c r="P1085" s="90"/>
      <c r="Q1085" s="89"/>
    </row>
    <row r="1086" spans="1:17" ht="15.75" customHeight="1" x14ac:dyDescent="0.25">
      <c r="A1086" s="89"/>
      <c r="B1086" s="89"/>
      <c r="C1086" s="89"/>
      <c r="D1086" s="89"/>
      <c r="E1086" s="89"/>
      <c r="F1086" s="89"/>
      <c r="G1086" s="89"/>
      <c r="H1086" s="89"/>
      <c r="I1086" s="89"/>
      <c r="J1086" s="89"/>
      <c r="K1086" s="89"/>
      <c r="L1086" s="89"/>
      <c r="M1086" s="89"/>
      <c r="N1086" s="90"/>
      <c r="O1086" s="90"/>
      <c r="P1086" s="90"/>
      <c r="Q1086" s="89"/>
    </row>
    <row r="1087" spans="1:17" ht="15.75" customHeight="1" x14ac:dyDescent="0.25">
      <c r="A1087" s="89"/>
      <c r="B1087" s="89"/>
      <c r="C1087" s="89"/>
      <c r="D1087" s="89"/>
      <c r="E1087" s="89"/>
      <c r="F1087" s="89"/>
      <c r="G1087" s="89"/>
      <c r="H1087" s="89"/>
      <c r="I1087" s="89"/>
      <c r="J1087" s="89"/>
      <c r="K1087" s="89"/>
      <c r="L1087" s="89"/>
      <c r="M1087" s="89"/>
      <c r="N1087" s="90"/>
      <c r="O1087" s="90"/>
      <c r="P1087" s="90"/>
      <c r="Q1087" s="89"/>
    </row>
    <row r="1088" spans="1:17" ht="15.75" customHeight="1" x14ac:dyDescent="0.25">
      <c r="A1088" s="89"/>
      <c r="B1088" s="89"/>
      <c r="C1088" s="89"/>
      <c r="D1088" s="89"/>
      <c r="E1088" s="89"/>
      <c r="F1088" s="89"/>
      <c r="G1088" s="89"/>
      <c r="H1088" s="89"/>
      <c r="I1088" s="89"/>
      <c r="J1088" s="89"/>
      <c r="K1088" s="89"/>
      <c r="L1088" s="89"/>
      <c r="M1088" s="89"/>
      <c r="N1088" s="90"/>
      <c r="O1088" s="90"/>
      <c r="P1088" s="90"/>
      <c r="Q1088" s="89"/>
    </row>
    <row r="1089" spans="1:17" ht="15.75" customHeight="1" x14ac:dyDescent="0.25">
      <c r="A1089" s="89"/>
      <c r="B1089" s="89"/>
      <c r="C1089" s="89"/>
      <c r="D1089" s="89"/>
      <c r="E1089" s="89"/>
      <c r="F1089" s="89"/>
      <c r="G1089" s="89"/>
      <c r="H1089" s="89"/>
      <c r="I1089" s="89"/>
      <c r="J1089" s="89"/>
      <c r="K1089" s="89"/>
      <c r="L1089" s="89"/>
      <c r="M1089" s="89"/>
      <c r="N1089" s="90"/>
      <c r="O1089" s="90"/>
      <c r="P1089" s="90"/>
      <c r="Q1089" s="89"/>
    </row>
    <row r="1090" spans="1:17" ht="15.75" customHeight="1" x14ac:dyDescent="0.25">
      <c r="A1090" s="89"/>
      <c r="B1090" s="89"/>
      <c r="C1090" s="89"/>
      <c r="D1090" s="89"/>
      <c r="E1090" s="89"/>
      <c r="F1090" s="89"/>
      <c r="G1090" s="89"/>
      <c r="H1090" s="89"/>
      <c r="I1090" s="89"/>
      <c r="J1090" s="89"/>
      <c r="K1090" s="89"/>
      <c r="L1090" s="89"/>
      <c r="M1090" s="89"/>
      <c r="N1090" s="90"/>
      <c r="O1090" s="90"/>
      <c r="P1090" s="90"/>
      <c r="Q1090" s="89"/>
    </row>
    <row r="1091" spans="1:17" ht="15.75" customHeight="1" x14ac:dyDescent="0.25">
      <c r="A1091" s="89"/>
      <c r="B1091" s="89"/>
      <c r="C1091" s="89"/>
      <c r="D1091" s="89"/>
      <c r="E1091" s="89"/>
      <c r="F1091" s="89"/>
      <c r="G1091" s="89"/>
      <c r="H1091" s="89"/>
      <c r="I1091" s="89"/>
      <c r="J1091" s="89"/>
      <c r="K1091" s="89"/>
      <c r="L1091" s="89"/>
      <c r="M1091" s="89"/>
      <c r="N1091" s="90"/>
      <c r="O1091" s="90"/>
      <c r="P1091" s="90"/>
      <c r="Q1091" s="89"/>
    </row>
    <row r="1092" spans="1:17" ht="15.75" customHeight="1" x14ac:dyDescent="0.25">
      <c r="A1092" s="89"/>
      <c r="B1092" s="89"/>
      <c r="C1092" s="89"/>
      <c r="D1092" s="89"/>
      <c r="E1092" s="89"/>
      <c r="F1092" s="89"/>
      <c r="G1092" s="89"/>
      <c r="H1092" s="89"/>
      <c r="I1092" s="89"/>
      <c r="J1092" s="89"/>
      <c r="K1092" s="89"/>
      <c r="L1092" s="89"/>
      <c r="M1092" s="89"/>
      <c r="N1092" s="90"/>
      <c r="O1092" s="90"/>
      <c r="P1092" s="90"/>
      <c r="Q1092" s="89"/>
    </row>
    <row r="1093" spans="1:17" ht="15.75" customHeight="1" x14ac:dyDescent="0.25">
      <c r="A1093" s="89"/>
      <c r="B1093" s="89"/>
      <c r="C1093" s="89"/>
      <c r="D1093" s="89"/>
      <c r="E1093" s="89"/>
      <c r="F1093" s="89"/>
      <c r="G1093" s="89"/>
      <c r="H1093" s="89"/>
      <c r="I1093" s="89"/>
      <c r="J1093" s="89"/>
      <c r="K1093" s="89"/>
      <c r="L1093" s="89"/>
      <c r="M1093" s="89"/>
      <c r="N1093" s="90"/>
      <c r="O1093" s="90"/>
      <c r="P1093" s="90"/>
      <c r="Q1093" s="89"/>
    </row>
    <row r="1094" spans="1:17" ht="15.75" customHeight="1" x14ac:dyDescent="0.25">
      <c r="A1094" s="89"/>
      <c r="B1094" s="89"/>
      <c r="C1094" s="89"/>
      <c r="D1094" s="89"/>
      <c r="E1094" s="89"/>
      <c r="F1094" s="89"/>
      <c r="G1094" s="89"/>
      <c r="H1094" s="89"/>
      <c r="I1094" s="89"/>
      <c r="J1094" s="89"/>
      <c r="K1094" s="89"/>
      <c r="L1094" s="89"/>
      <c r="M1094" s="89"/>
      <c r="N1094" s="90"/>
      <c r="O1094" s="90"/>
      <c r="P1094" s="90"/>
      <c r="Q1094" s="89"/>
    </row>
    <row r="1095" spans="1:17" ht="15.75" customHeight="1" x14ac:dyDescent="0.25">
      <c r="A1095" s="89"/>
      <c r="B1095" s="89"/>
      <c r="C1095" s="89"/>
      <c r="D1095" s="89"/>
      <c r="E1095" s="89"/>
      <c r="F1095" s="89"/>
      <c r="G1095" s="89"/>
      <c r="H1095" s="89"/>
      <c r="I1095" s="89"/>
      <c r="J1095" s="89"/>
      <c r="K1095" s="89"/>
      <c r="L1095" s="89"/>
      <c r="M1095" s="89"/>
      <c r="N1095" s="90"/>
      <c r="O1095" s="90"/>
      <c r="P1095" s="90"/>
      <c r="Q1095" s="89"/>
    </row>
    <row r="1096" spans="1:17" ht="15.75" customHeight="1" x14ac:dyDescent="0.25">
      <c r="A1096" s="89"/>
      <c r="B1096" s="89"/>
      <c r="C1096" s="89"/>
      <c r="D1096" s="89"/>
      <c r="E1096" s="89"/>
      <c r="F1096" s="89"/>
      <c r="G1096" s="89"/>
      <c r="H1096" s="89"/>
      <c r="I1096" s="89"/>
      <c r="J1096" s="89"/>
      <c r="K1096" s="89"/>
      <c r="L1096" s="89"/>
      <c r="M1096" s="89"/>
      <c r="N1096" s="90"/>
      <c r="O1096" s="90"/>
      <c r="P1096" s="90"/>
      <c r="Q1096" s="89"/>
    </row>
    <row r="1097" spans="1:17" ht="15.75" customHeight="1" x14ac:dyDescent="0.25">
      <c r="A1097" s="89"/>
      <c r="B1097" s="89"/>
      <c r="C1097" s="89"/>
      <c r="D1097" s="89"/>
      <c r="E1097" s="89"/>
      <c r="F1097" s="89"/>
      <c r="G1097" s="89"/>
      <c r="H1097" s="89"/>
      <c r="I1097" s="89"/>
      <c r="J1097" s="89"/>
      <c r="K1097" s="89"/>
      <c r="L1097" s="89"/>
      <c r="M1097" s="89"/>
      <c r="N1097" s="90"/>
      <c r="O1097" s="90"/>
      <c r="P1097" s="90"/>
      <c r="Q1097" s="89"/>
    </row>
    <row r="1098" spans="1:17" ht="15.75" customHeight="1" x14ac:dyDescent="0.25">
      <c r="A1098" s="89"/>
      <c r="B1098" s="89"/>
      <c r="C1098" s="89"/>
      <c r="D1098" s="89"/>
      <c r="E1098" s="89"/>
      <c r="F1098" s="89"/>
      <c r="G1098" s="89"/>
      <c r="H1098" s="89"/>
      <c r="I1098" s="89"/>
      <c r="J1098" s="89"/>
      <c r="K1098" s="89"/>
      <c r="L1098" s="89"/>
      <c r="M1098" s="89"/>
      <c r="N1098" s="90"/>
      <c r="O1098" s="90"/>
      <c r="P1098" s="90"/>
      <c r="Q1098" s="89"/>
    </row>
    <row r="1099" spans="1:17" ht="15.75" customHeight="1" x14ac:dyDescent="0.25">
      <c r="A1099" s="89"/>
      <c r="B1099" s="89"/>
      <c r="C1099" s="89"/>
      <c r="D1099" s="89"/>
      <c r="E1099" s="89"/>
      <c r="F1099" s="89"/>
      <c r="G1099" s="89"/>
      <c r="H1099" s="89"/>
      <c r="I1099" s="89"/>
      <c r="J1099" s="89"/>
      <c r="K1099" s="89"/>
      <c r="L1099" s="89"/>
      <c r="M1099" s="89"/>
      <c r="N1099" s="90"/>
      <c r="O1099" s="90"/>
      <c r="P1099" s="90"/>
      <c r="Q1099" s="89"/>
    </row>
    <row r="1100" spans="1:17" ht="15.75" customHeight="1" x14ac:dyDescent="0.25">
      <c r="A1100" s="89"/>
      <c r="B1100" s="89"/>
      <c r="C1100" s="89"/>
      <c r="D1100" s="89"/>
      <c r="E1100" s="89"/>
      <c r="F1100" s="89"/>
      <c r="G1100" s="89"/>
      <c r="H1100" s="89"/>
      <c r="I1100" s="89"/>
      <c r="J1100" s="89"/>
      <c r="K1100" s="89"/>
      <c r="L1100" s="89"/>
      <c r="M1100" s="89"/>
      <c r="N1100" s="90"/>
      <c r="O1100" s="90"/>
      <c r="P1100" s="90"/>
      <c r="Q1100" s="89"/>
    </row>
    <row r="1101" spans="1:17" ht="15.75" customHeight="1" x14ac:dyDescent="0.25">
      <c r="A1101" s="89"/>
      <c r="B1101" s="89"/>
      <c r="C1101" s="89"/>
      <c r="D1101" s="89"/>
      <c r="E1101" s="89"/>
      <c r="F1101" s="89"/>
      <c r="G1101" s="89"/>
      <c r="H1101" s="89"/>
      <c r="I1101" s="89"/>
      <c r="J1101" s="89"/>
      <c r="K1101" s="89"/>
      <c r="L1101" s="89"/>
      <c r="M1101" s="89"/>
      <c r="N1101" s="90"/>
      <c r="O1101" s="90"/>
      <c r="P1101" s="90"/>
      <c r="Q1101" s="89"/>
    </row>
    <row r="1102" spans="1:17" ht="15.75" customHeight="1" x14ac:dyDescent="0.25">
      <c r="A1102" s="89"/>
      <c r="B1102" s="89"/>
      <c r="C1102" s="89"/>
      <c r="D1102" s="89"/>
      <c r="E1102" s="89"/>
      <c r="F1102" s="89"/>
      <c r="G1102" s="89"/>
      <c r="H1102" s="89"/>
      <c r="I1102" s="89"/>
      <c r="J1102" s="89"/>
      <c r="K1102" s="89"/>
      <c r="L1102" s="89"/>
      <c r="M1102" s="89"/>
      <c r="N1102" s="90"/>
      <c r="O1102" s="90"/>
      <c r="P1102" s="90"/>
      <c r="Q1102" s="89"/>
    </row>
    <row r="1103" spans="1:17" ht="15.75" customHeight="1" x14ac:dyDescent="0.25">
      <c r="A1103" s="89"/>
      <c r="B1103" s="89"/>
      <c r="C1103" s="89"/>
      <c r="D1103" s="89"/>
      <c r="E1103" s="89"/>
      <c r="F1103" s="89"/>
      <c r="G1103" s="89"/>
      <c r="H1103" s="89"/>
      <c r="I1103" s="89"/>
      <c r="J1103" s="89"/>
      <c r="K1103" s="89"/>
      <c r="L1103" s="89"/>
      <c r="M1103" s="89"/>
      <c r="N1103" s="90"/>
      <c r="O1103" s="90"/>
      <c r="P1103" s="90"/>
      <c r="Q1103" s="89"/>
    </row>
    <row r="1104" spans="1:17" ht="15.75" customHeight="1" x14ac:dyDescent="0.25">
      <c r="A1104" s="89"/>
      <c r="B1104" s="89"/>
      <c r="C1104" s="89"/>
      <c r="D1104" s="89"/>
      <c r="E1104" s="89"/>
      <c r="F1104" s="89"/>
      <c r="G1104" s="89"/>
      <c r="H1104" s="89"/>
      <c r="I1104" s="89"/>
      <c r="J1104" s="89"/>
      <c r="K1104" s="89"/>
      <c r="L1104" s="89"/>
      <c r="M1104" s="89"/>
      <c r="N1104" s="90"/>
      <c r="O1104" s="90"/>
      <c r="P1104" s="90"/>
      <c r="Q1104" s="89"/>
    </row>
    <row r="1105" spans="1:17" ht="15.75" customHeight="1" x14ac:dyDescent="0.25">
      <c r="A1105" s="89"/>
      <c r="B1105" s="89"/>
      <c r="C1105" s="89"/>
      <c r="D1105" s="89"/>
      <c r="E1105" s="89"/>
      <c r="F1105" s="89"/>
      <c r="G1105" s="89"/>
      <c r="H1105" s="89"/>
      <c r="I1105" s="89"/>
      <c r="J1105" s="89"/>
      <c r="K1105" s="89"/>
      <c r="L1105" s="89"/>
      <c r="M1105" s="89"/>
      <c r="N1105" s="90"/>
      <c r="O1105" s="90"/>
      <c r="P1105" s="90"/>
      <c r="Q1105" s="89"/>
    </row>
    <row r="1106" spans="1:17" ht="15.75" customHeight="1" x14ac:dyDescent="0.25">
      <c r="A1106" s="89"/>
      <c r="B1106" s="89"/>
      <c r="C1106" s="89"/>
      <c r="D1106" s="89"/>
      <c r="E1106" s="89"/>
      <c r="F1106" s="89"/>
      <c r="G1106" s="89"/>
      <c r="H1106" s="89"/>
      <c r="I1106" s="89"/>
      <c r="J1106" s="89"/>
      <c r="K1106" s="89"/>
      <c r="L1106" s="89"/>
      <c r="M1106" s="89"/>
      <c r="N1106" s="90"/>
      <c r="O1106" s="90"/>
      <c r="P1106" s="90"/>
      <c r="Q1106" s="89"/>
    </row>
    <row r="1107" spans="1:17" ht="15.75" customHeight="1" x14ac:dyDescent="0.25">
      <c r="A1107" s="89"/>
      <c r="B1107" s="89"/>
      <c r="C1107" s="89"/>
      <c r="D1107" s="89"/>
      <c r="E1107" s="89"/>
      <c r="F1107" s="89"/>
      <c r="G1107" s="89"/>
      <c r="H1107" s="89"/>
      <c r="I1107" s="89"/>
      <c r="J1107" s="89"/>
      <c r="K1107" s="89"/>
      <c r="L1107" s="89"/>
      <c r="M1107" s="89"/>
      <c r="N1107" s="90"/>
      <c r="O1107" s="90"/>
      <c r="P1107" s="90"/>
      <c r="Q1107" s="89"/>
    </row>
    <row r="1108" spans="1:17" ht="15.75" customHeight="1" x14ac:dyDescent="0.25">
      <c r="A1108" s="89"/>
      <c r="B1108" s="89"/>
      <c r="C1108" s="89"/>
      <c r="D1108" s="89"/>
      <c r="E1108" s="89"/>
      <c r="F1108" s="89"/>
      <c r="G1108" s="89"/>
      <c r="H1108" s="89"/>
      <c r="I1108" s="89"/>
      <c r="J1108" s="89"/>
      <c r="K1108" s="89"/>
      <c r="L1108" s="89"/>
      <c r="M1108" s="89"/>
      <c r="N1108" s="90"/>
      <c r="O1108" s="90"/>
      <c r="P1108" s="90"/>
      <c r="Q1108" s="89"/>
    </row>
    <row r="1109" spans="1:17" ht="15.75" customHeight="1" x14ac:dyDescent="0.25">
      <c r="A1109" s="89"/>
      <c r="B1109" s="89"/>
      <c r="C1109" s="89"/>
      <c r="D1109" s="89"/>
      <c r="E1109" s="89"/>
      <c r="F1109" s="89"/>
      <c r="G1109" s="89"/>
      <c r="H1109" s="89"/>
      <c r="I1109" s="89"/>
      <c r="J1109" s="89"/>
      <c r="K1109" s="89"/>
      <c r="L1109" s="89"/>
      <c r="M1109" s="89"/>
      <c r="N1109" s="90"/>
      <c r="O1109" s="90"/>
      <c r="P1109" s="90"/>
      <c r="Q1109" s="89"/>
    </row>
    <row r="1110" spans="1:17" ht="15.75" customHeight="1" x14ac:dyDescent="0.25">
      <c r="A1110" s="89"/>
      <c r="B1110" s="89"/>
      <c r="C1110" s="89"/>
      <c r="D1110" s="89"/>
      <c r="E1110" s="89"/>
      <c r="F1110" s="89"/>
      <c r="G1110" s="89"/>
      <c r="H1110" s="89"/>
      <c r="I1110" s="89"/>
      <c r="J1110" s="89"/>
      <c r="K1110" s="89"/>
      <c r="L1110" s="89"/>
      <c r="M1110" s="89"/>
      <c r="N1110" s="90"/>
      <c r="O1110" s="90"/>
      <c r="P1110" s="90"/>
      <c r="Q1110" s="89"/>
    </row>
    <row r="1111" spans="1:17" ht="15.75" customHeight="1" x14ac:dyDescent="0.25">
      <c r="A1111" s="89"/>
      <c r="B1111" s="89"/>
      <c r="C1111" s="89"/>
      <c r="D1111" s="89"/>
      <c r="E1111" s="89"/>
      <c r="F1111" s="89"/>
      <c r="G1111" s="89"/>
      <c r="H1111" s="89"/>
      <c r="I1111" s="89"/>
      <c r="J1111" s="89"/>
      <c r="K1111" s="89"/>
      <c r="L1111" s="89"/>
      <c r="M1111" s="89"/>
      <c r="N1111" s="90"/>
      <c r="O1111" s="90"/>
      <c r="P1111" s="90"/>
      <c r="Q1111" s="89"/>
    </row>
    <row r="1112" spans="1:17" ht="15.75" customHeight="1" x14ac:dyDescent="0.25">
      <c r="A1112" s="89"/>
      <c r="B1112" s="89"/>
      <c r="C1112" s="89"/>
      <c r="D1112" s="89"/>
      <c r="E1112" s="89"/>
      <c r="F1112" s="89"/>
      <c r="G1112" s="89"/>
      <c r="H1112" s="89"/>
      <c r="I1112" s="89"/>
      <c r="J1112" s="89"/>
      <c r="K1112" s="89"/>
      <c r="L1112" s="89"/>
      <c r="M1112" s="89"/>
      <c r="N1112" s="90"/>
      <c r="O1112" s="90"/>
      <c r="P1112" s="90"/>
      <c r="Q1112" s="89"/>
    </row>
    <row r="1113" spans="1:17" ht="15.75" customHeight="1" x14ac:dyDescent="0.25">
      <c r="A1113" s="89"/>
      <c r="B1113" s="89"/>
      <c r="C1113" s="89"/>
      <c r="D1113" s="89"/>
      <c r="E1113" s="89"/>
      <c r="F1113" s="89"/>
      <c r="G1113" s="89"/>
      <c r="H1113" s="89"/>
      <c r="I1113" s="89"/>
      <c r="J1113" s="89"/>
      <c r="K1113" s="89"/>
      <c r="L1113" s="89"/>
      <c r="M1113" s="89"/>
      <c r="N1113" s="90"/>
      <c r="O1113" s="90"/>
      <c r="P1113" s="90"/>
      <c r="Q1113" s="89"/>
    </row>
    <row r="1114" spans="1:17" ht="15.75" customHeight="1" x14ac:dyDescent="0.25">
      <c r="A1114" s="89"/>
      <c r="B1114" s="89"/>
      <c r="C1114" s="89"/>
      <c r="D1114" s="89"/>
      <c r="E1114" s="89"/>
      <c r="F1114" s="89"/>
      <c r="G1114" s="89"/>
      <c r="H1114" s="89"/>
      <c r="I1114" s="89"/>
      <c r="J1114" s="89"/>
      <c r="K1114" s="89"/>
      <c r="L1114" s="89"/>
      <c r="M1114" s="89"/>
      <c r="N1114" s="90"/>
      <c r="O1114" s="90"/>
      <c r="P1114" s="90"/>
      <c r="Q1114" s="89"/>
    </row>
    <row r="1115" spans="1:17" ht="15.75" customHeight="1" x14ac:dyDescent="0.25">
      <c r="A1115" s="89"/>
      <c r="B1115" s="89"/>
      <c r="C1115" s="89"/>
      <c r="D1115" s="89"/>
      <c r="E1115" s="89"/>
      <c r="F1115" s="89"/>
      <c r="G1115" s="89"/>
      <c r="H1115" s="89"/>
      <c r="I1115" s="89"/>
      <c r="J1115" s="89"/>
      <c r="K1115" s="89"/>
      <c r="L1115" s="89"/>
      <c r="M1115" s="89"/>
      <c r="N1115" s="90"/>
      <c r="O1115" s="90"/>
      <c r="P1115" s="90"/>
      <c r="Q1115" s="89"/>
    </row>
    <row r="1116" spans="1:17" ht="15.75" customHeight="1" x14ac:dyDescent="0.25">
      <c r="A1116" s="89"/>
      <c r="B1116" s="89"/>
      <c r="C1116" s="89"/>
      <c r="D1116" s="89"/>
      <c r="E1116" s="89"/>
      <c r="F1116" s="89"/>
      <c r="G1116" s="89"/>
      <c r="H1116" s="89"/>
      <c r="I1116" s="89"/>
      <c r="J1116" s="89"/>
      <c r="K1116" s="89"/>
      <c r="L1116" s="89"/>
      <c r="M1116" s="89"/>
      <c r="N1116" s="90"/>
      <c r="O1116" s="90"/>
      <c r="P1116" s="90"/>
      <c r="Q1116" s="89"/>
    </row>
    <row r="1117" spans="1:17" ht="15.75" customHeight="1" x14ac:dyDescent="0.25">
      <c r="A1117" s="89"/>
      <c r="B1117" s="89"/>
      <c r="C1117" s="89"/>
      <c r="D1117" s="89"/>
      <c r="E1117" s="89"/>
      <c r="F1117" s="89"/>
      <c r="G1117" s="89"/>
      <c r="H1117" s="89"/>
      <c r="I1117" s="89"/>
      <c r="J1117" s="89"/>
      <c r="K1117" s="89"/>
      <c r="L1117" s="89"/>
      <c r="M1117" s="89"/>
      <c r="N1117" s="90"/>
      <c r="O1117" s="90"/>
      <c r="P1117" s="90"/>
      <c r="Q1117" s="89"/>
    </row>
    <row r="1118" spans="1:17" ht="15.75" customHeight="1" x14ac:dyDescent="0.25">
      <c r="A1118" s="89"/>
      <c r="B1118" s="89"/>
      <c r="C1118" s="89"/>
      <c r="D1118" s="89"/>
      <c r="E1118" s="89"/>
      <c r="F1118" s="89"/>
      <c r="G1118" s="89"/>
      <c r="H1118" s="89"/>
      <c r="I1118" s="89"/>
      <c r="J1118" s="89"/>
      <c r="K1118" s="89"/>
      <c r="L1118" s="89"/>
      <c r="M1118" s="89"/>
      <c r="N1118" s="90"/>
      <c r="O1118" s="90"/>
      <c r="P1118" s="90"/>
      <c r="Q1118" s="89"/>
    </row>
    <row r="1119" spans="1:17" ht="15.75" customHeight="1" x14ac:dyDescent="0.25">
      <c r="A1119" s="89"/>
      <c r="B1119" s="89"/>
      <c r="C1119" s="89"/>
      <c r="D1119" s="89"/>
      <c r="E1119" s="89"/>
      <c r="F1119" s="89"/>
      <c r="G1119" s="89"/>
      <c r="H1119" s="89"/>
      <c r="I1119" s="89"/>
      <c r="J1119" s="89"/>
      <c r="K1119" s="89"/>
      <c r="L1119" s="89"/>
      <c r="M1119" s="89"/>
      <c r="N1119" s="90"/>
      <c r="O1119" s="90"/>
      <c r="P1119" s="90"/>
      <c r="Q1119" s="89"/>
    </row>
    <row r="1120" spans="1:17" ht="15.75" customHeight="1" x14ac:dyDescent="0.25">
      <c r="A1120" s="89"/>
      <c r="B1120" s="89"/>
      <c r="C1120" s="89"/>
      <c r="D1120" s="89"/>
      <c r="E1120" s="89"/>
      <c r="F1120" s="89"/>
      <c r="G1120" s="89"/>
      <c r="H1120" s="89"/>
      <c r="I1120" s="89"/>
      <c r="J1120" s="89"/>
      <c r="K1120" s="89"/>
      <c r="L1120" s="89"/>
      <c r="M1120" s="89"/>
      <c r="N1120" s="90"/>
      <c r="O1120" s="90"/>
      <c r="P1120" s="90"/>
      <c r="Q1120" s="89"/>
    </row>
    <row r="1121" spans="1:17" ht="15.75" customHeight="1" x14ac:dyDescent="0.25">
      <c r="A1121" s="89"/>
      <c r="B1121" s="89"/>
      <c r="C1121" s="89"/>
      <c r="D1121" s="89"/>
      <c r="E1121" s="89"/>
      <c r="F1121" s="89"/>
      <c r="G1121" s="89"/>
      <c r="H1121" s="89"/>
      <c r="I1121" s="89"/>
      <c r="J1121" s="89"/>
      <c r="K1121" s="89"/>
      <c r="L1121" s="89"/>
      <c r="M1121" s="89"/>
      <c r="N1121" s="90"/>
      <c r="O1121" s="90"/>
      <c r="P1121" s="90"/>
      <c r="Q1121" s="89"/>
    </row>
    <row r="1122" spans="1:17" ht="15.75" customHeight="1" x14ac:dyDescent="0.25">
      <c r="A1122" s="89"/>
      <c r="B1122" s="89"/>
      <c r="C1122" s="89"/>
      <c r="D1122" s="89"/>
      <c r="E1122" s="89"/>
      <c r="F1122" s="89"/>
      <c r="G1122" s="89"/>
      <c r="H1122" s="89"/>
      <c r="I1122" s="89"/>
      <c r="J1122" s="89"/>
      <c r="K1122" s="89"/>
      <c r="L1122" s="89"/>
      <c r="M1122" s="89"/>
      <c r="N1122" s="90"/>
      <c r="O1122" s="90"/>
      <c r="P1122" s="90"/>
      <c r="Q1122" s="89"/>
    </row>
    <row r="1123" spans="1:17" ht="15.75" customHeight="1" x14ac:dyDescent="0.25">
      <c r="A1123" s="89"/>
      <c r="B1123" s="89"/>
      <c r="C1123" s="89"/>
      <c r="D1123" s="89"/>
      <c r="E1123" s="89"/>
      <c r="F1123" s="89"/>
      <c r="G1123" s="89"/>
      <c r="H1123" s="89"/>
      <c r="I1123" s="89"/>
      <c r="J1123" s="89"/>
      <c r="K1123" s="89"/>
      <c r="L1123" s="89"/>
      <c r="M1123" s="89"/>
      <c r="N1123" s="90"/>
      <c r="O1123" s="90"/>
      <c r="P1123" s="90"/>
      <c r="Q1123" s="89"/>
    </row>
    <row r="1124" spans="1:17" ht="15.75" customHeight="1" x14ac:dyDescent="0.25">
      <c r="A1124" s="89"/>
      <c r="B1124" s="89"/>
      <c r="C1124" s="89"/>
      <c r="D1124" s="89"/>
      <c r="E1124" s="89"/>
      <c r="F1124" s="89"/>
      <c r="G1124" s="89"/>
      <c r="H1124" s="89"/>
      <c r="I1124" s="89"/>
      <c r="J1124" s="89"/>
      <c r="K1124" s="89"/>
      <c r="L1124" s="89"/>
      <c r="M1124" s="89"/>
      <c r="N1124" s="90"/>
      <c r="O1124" s="90"/>
      <c r="P1124" s="90"/>
      <c r="Q1124" s="89"/>
    </row>
    <row r="1125" spans="1:17" ht="15.75" customHeight="1" x14ac:dyDescent="0.25">
      <c r="A1125" s="89"/>
      <c r="B1125" s="89"/>
      <c r="C1125" s="89"/>
      <c r="D1125" s="89"/>
      <c r="E1125" s="89"/>
      <c r="F1125" s="89"/>
      <c r="G1125" s="89"/>
      <c r="H1125" s="89"/>
      <c r="I1125" s="89"/>
      <c r="J1125" s="89"/>
      <c r="K1125" s="89"/>
      <c r="L1125" s="89"/>
      <c r="M1125" s="89"/>
      <c r="N1125" s="90"/>
      <c r="O1125" s="90"/>
      <c r="P1125" s="90"/>
      <c r="Q1125" s="89"/>
    </row>
    <row r="1126" spans="1:17" ht="15.75" customHeight="1" x14ac:dyDescent="0.25">
      <c r="A1126" s="89"/>
      <c r="B1126" s="89"/>
      <c r="C1126" s="89"/>
      <c r="D1126" s="89"/>
      <c r="E1126" s="89"/>
      <c r="F1126" s="89"/>
      <c r="G1126" s="89"/>
      <c r="H1126" s="89"/>
      <c r="I1126" s="89"/>
      <c r="J1126" s="89"/>
      <c r="K1126" s="89"/>
      <c r="L1126" s="89"/>
      <c r="M1126" s="89"/>
      <c r="N1126" s="90"/>
      <c r="O1126" s="90"/>
      <c r="P1126" s="90"/>
      <c r="Q1126" s="89"/>
    </row>
    <row r="1127" spans="1:17" ht="15.75" customHeight="1" x14ac:dyDescent="0.25">
      <c r="A1127" s="89"/>
      <c r="B1127" s="89"/>
      <c r="C1127" s="89"/>
      <c r="D1127" s="89"/>
      <c r="E1127" s="89"/>
      <c r="F1127" s="89"/>
      <c r="G1127" s="89"/>
      <c r="H1127" s="89"/>
      <c r="I1127" s="89"/>
      <c r="J1127" s="89"/>
      <c r="K1127" s="89"/>
      <c r="L1127" s="89"/>
      <c r="M1127" s="89"/>
      <c r="N1127" s="90"/>
      <c r="O1127" s="90"/>
      <c r="P1127" s="90"/>
      <c r="Q1127" s="89"/>
    </row>
    <row r="1128" spans="1:17" ht="15.75" customHeight="1" x14ac:dyDescent="0.25">
      <c r="A1128" s="89"/>
      <c r="B1128" s="89"/>
      <c r="C1128" s="89"/>
      <c r="D1128" s="89"/>
      <c r="E1128" s="89"/>
      <c r="F1128" s="89"/>
      <c r="G1128" s="89"/>
      <c r="H1128" s="89"/>
      <c r="I1128" s="89"/>
      <c r="J1128" s="89"/>
      <c r="K1128" s="89"/>
      <c r="L1128" s="89"/>
      <c r="M1128" s="89"/>
      <c r="N1128" s="90"/>
      <c r="O1128" s="90"/>
      <c r="P1128" s="90"/>
      <c r="Q1128" s="89"/>
    </row>
    <row r="1129" spans="1:17" ht="15.75" customHeight="1" x14ac:dyDescent="0.25">
      <c r="A1129" s="89"/>
      <c r="B1129" s="89"/>
      <c r="C1129" s="89"/>
      <c r="D1129" s="89"/>
      <c r="E1129" s="89"/>
      <c r="F1129" s="89"/>
      <c r="G1129" s="89"/>
      <c r="H1129" s="89"/>
      <c r="I1129" s="89"/>
      <c r="J1129" s="89"/>
      <c r="K1129" s="89"/>
      <c r="L1129" s="89"/>
      <c r="M1129" s="89"/>
      <c r="N1129" s="90"/>
      <c r="O1129" s="90"/>
      <c r="P1129" s="90"/>
      <c r="Q1129" s="89"/>
    </row>
    <row r="1130" spans="1:17" ht="15.75" customHeight="1" x14ac:dyDescent="0.25">
      <c r="A1130" s="89"/>
      <c r="B1130" s="89"/>
      <c r="C1130" s="89"/>
      <c r="D1130" s="89"/>
      <c r="E1130" s="89"/>
      <c r="F1130" s="89"/>
      <c r="G1130" s="89"/>
      <c r="H1130" s="89"/>
      <c r="I1130" s="89"/>
      <c r="J1130" s="89"/>
      <c r="K1130" s="89"/>
      <c r="L1130" s="89"/>
      <c r="M1130" s="89"/>
      <c r="N1130" s="90"/>
      <c r="O1130" s="90"/>
      <c r="P1130" s="90"/>
      <c r="Q1130" s="89"/>
    </row>
    <row r="1131" spans="1:17" ht="15.75" customHeight="1" x14ac:dyDescent="0.25">
      <c r="A1131" s="89"/>
      <c r="B1131" s="89"/>
      <c r="C1131" s="89"/>
      <c r="D1131" s="89"/>
      <c r="E1131" s="89"/>
      <c r="F1131" s="89"/>
      <c r="G1131" s="89"/>
      <c r="H1131" s="89"/>
      <c r="I1131" s="89"/>
      <c r="J1131" s="89"/>
      <c r="K1131" s="89"/>
      <c r="L1131" s="89"/>
      <c r="M1131" s="89"/>
      <c r="N1131" s="90"/>
      <c r="O1131" s="90"/>
      <c r="P1131" s="90"/>
      <c r="Q1131" s="89"/>
    </row>
    <row r="1132" spans="1:17" ht="15.75" customHeight="1" x14ac:dyDescent="0.25">
      <c r="A1132" s="89"/>
      <c r="B1132" s="89"/>
      <c r="C1132" s="89"/>
      <c r="D1132" s="89"/>
      <c r="E1132" s="89"/>
      <c r="F1132" s="89"/>
      <c r="G1132" s="89"/>
      <c r="H1132" s="89"/>
      <c r="I1132" s="89"/>
      <c r="J1132" s="89"/>
      <c r="K1132" s="89"/>
      <c r="L1132" s="89"/>
      <c r="M1132" s="89"/>
      <c r="N1132" s="90"/>
      <c r="O1132" s="90"/>
      <c r="P1132" s="90"/>
      <c r="Q1132" s="89"/>
    </row>
    <row r="1133" spans="1:17" ht="15.75" customHeight="1" x14ac:dyDescent="0.25">
      <c r="A1133" s="89"/>
      <c r="B1133" s="89"/>
      <c r="C1133" s="89"/>
      <c r="D1133" s="89"/>
      <c r="E1133" s="89"/>
      <c r="F1133" s="89"/>
      <c r="G1133" s="89"/>
      <c r="H1133" s="89"/>
      <c r="I1133" s="89"/>
      <c r="J1133" s="89"/>
      <c r="K1133" s="89"/>
      <c r="L1133" s="89"/>
      <c r="M1133" s="89"/>
      <c r="N1133" s="90"/>
      <c r="O1133" s="90"/>
      <c r="P1133" s="90"/>
      <c r="Q1133" s="89"/>
    </row>
    <row r="1134" spans="1:17" ht="15.75" customHeight="1" x14ac:dyDescent="0.25">
      <c r="A1134" s="89"/>
      <c r="B1134" s="89"/>
      <c r="C1134" s="89"/>
      <c r="D1134" s="89"/>
      <c r="E1134" s="89"/>
      <c r="F1134" s="89"/>
      <c r="G1134" s="89"/>
      <c r="H1134" s="89"/>
      <c r="I1134" s="89"/>
      <c r="J1134" s="89"/>
      <c r="K1134" s="89"/>
      <c r="L1134" s="89"/>
      <c r="M1134" s="89"/>
      <c r="N1134" s="90"/>
      <c r="O1134" s="90"/>
      <c r="P1134" s="90"/>
      <c r="Q1134" s="89"/>
    </row>
    <row r="1135" spans="1:17" ht="15.75" customHeight="1" x14ac:dyDescent="0.25">
      <c r="A1135" s="89"/>
      <c r="B1135" s="89"/>
      <c r="C1135" s="89"/>
      <c r="D1135" s="89"/>
      <c r="E1135" s="89"/>
      <c r="F1135" s="89"/>
      <c r="G1135" s="89"/>
      <c r="H1135" s="89"/>
      <c r="I1135" s="89"/>
      <c r="J1135" s="89"/>
      <c r="K1135" s="89"/>
      <c r="L1135" s="89"/>
      <c r="M1135" s="89"/>
      <c r="N1135" s="90"/>
      <c r="O1135" s="90"/>
      <c r="P1135" s="90"/>
      <c r="Q1135" s="89"/>
    </row>
    <row r="1136" spans="1:17" ht="15.75" customHeight="1" x14ac:dyDescent="0.25">
      <c r="A1136" s="89"/>
      <c r="B1136" s="89"/>
      <c r="C1136" s="89"/>
      <c r="D1136" s="89"/>
      <c r="E1136" s="89"/>
      <c r="F1136" s="89"/>
      <c r="G1136" s="89"/>
      <c r="H1136" s="89"/>
      <c r="I1136" s="89"/>
      <c r="J1136" s="89"/>
      <c r="K1136" s="89"/>
      <c r="L1136" s="89"/>
      <c r="M1136" s="89"/>
      <c r="N1136" s="90"/>
      <c r="O1136" s="90"/>
      <c r="P1136" s="90"/>
      <c r="Q1136" s="89"/>
    </row>
    <row r="1137" spans="1:17" ht="15.75" customHeight="1" x14ac:dyDescent="0.25">
      <c r="A1137" s="89"/>
      <c r="B1137" s="89"/>
      <c r="C1137" s="89"/>
      <c r="D1137" s="89"/>
      <c r="E1137" s="89"/>
      <c r="F1137" s="89"/>
      <c r="G1137" s="89"/>
      <c r="H1137" s="89"/>
      <c r="I1137" s="89"/>
      <c r="J1137" s="89"/>
      <c r="K1137" s="89"/>
      <c r="L1137" s="89"/>
      <c r="M1137" s="89"/>
      <c r="N1137" s="90"/>
      <c r="O1137" s="90"/>
      <c r="P1137" s="90"/>
      <c r="Q1137" s="89"/>
    </row>
    <row r="1138" spans="1:17" ht="15.75" customHeight="1" x14ac:dyDescent="0.25">
      <c r="A1138" s="89"/>
      <c r="B1138" s="89"/>
      <c r="C1138" s="89"/>
      <c r="D1138" s="89"/>
      <c r="E1138" s="89"/>
      <c r="F1138" s="89"/>
      <c r="G1138" s="89"/>
      <c r="H1138" s="89"/>
      <c r="I1138" s="89"/>
      <c r="J1138" s="89"/>
      <c r="K1138" s="89"/>
      <c r="L1138" s="89"/>
      <c r="M1138" s="89"/>
      <c r="N1138" s="90"/>
      <c r="O1138" s="90"/>
      <c r="P1138" s="90"/>
      <c r="Q1138" s="89"/>
    </row>
    <row r="1139" spans="1:17" ht="15.75" customHeight="1" x14ac:dyDescent="0.25">
      <c r="A1139" s="89"/>
      <c r="B1139" s="89"/>
      <c r="C1139" s="89"/>
      <c r="D1139" s="89"/>
      <c r="E1139" s="89"/>
      <c r="F1139" s="89"/>
      <c r="G1139" s="89"/>
      <c r="H1139" s="89"/>
      <c r="I1139" s="89"/>
      <c r="J1139" s="89"/>
      <c r="K1139" s="89"/>
      <c r="L1139" s="89"/>
      <c r="M1139" s="89"/>
      <c r="N1139" s="90"/>
      <c r="O1139" s="90"/>
      <c r="P1139" s="90"/>
      <c r="Q1139" s="89"/>
    </row>
    <row r="1140" spans="1:17" ht="15.75" customHeight="1" x14ac:dyDescent="0.25">
      <c r="A1140" s="89"/>
      <c r="B1140" s="89"/>
      <c r="C1140" s="89"/>
      <c r="D1140" s="89"/>
      <c r="E1140" s="89"/>
      <c r="F1140" s="89"/>
      <c r="G1140" s="89"/>
      <c r="H1140" s="89"/>
      <c r="I1140" s="89"/>
      <c r="J1140" s="89"/>
      <c r="K1140" s="89"/>
      <c r="L1140" s="89"/>
      <c r="M1140" s="89"/>
      <c r="N1140" s="90"/>
      <c r="O1140" s="90"/>
      <c r="P1140" s="90"/>
      <c r="Q1140" s="89"/>
    </row>
    <row r="1141" spans="1:17" ht="15.75" customHeight="1" x14ac:dyDescent="0.25">
      <c r="A1141" s="89"/>
      <c r="B1141" s="89"/>
      <c r="C1141" s="89"/>
      <c r="D1141" s="89"/>
      <c r="E1141" s="89"/>
      <c r="F1141" s="89"/>
      <c r="G1141" s="89"/>
      <c r="H1141" s="89"/>
      <c r="I1141" s="89"/>
      <c r="J1141" s="89"/>
      <c r="K1141" s="89"/>
      <c r="L1141" s="89"/>
      <c r="M1141" s="89"/>
      <c r="N1141" s="90"/>
      <c r="O1141" s="90"/>
      <c r="P1141" s="90"/>
      <c r="Q1141" s="89"/>
    </row>
    <row r="1142" spans="1:17" ht="15.75" customHeight="1" x14ac:dyDescent="0.25">
      <c r="A1142" s="89"/>
      <c r="B1142" s="89"/>
      <c r="C1142" s="89"/>
      <c r="D1142" s="89"/>
      <c r="E1142" s="89"/>
      <c r="F1142" s="89"/>
      <c r="G1142" s="89"/>
      <c r="H1142" s="89"/>
      <c r="I1142" s="89"/>
      <c r="J1142" s="89"/>
      <c r="K1142" s="89"/>
      <c r="L1142" s="89"/>
      <c r="M1142" s="89"/>
      <c r="N1142" s="90"/>
      <c r="O1142" s="90"/>
      <c r="P1142" s="90"/>
      <c r="Q1142" s="89"/>
    </row>
    <row r="1143" spans="1:17" ht="15.75" customHeight="1" x14ac:dyDescent="0.25">
      <c r="A1143" s="89"/>
      <c r="B1143" s="89"/>
      <c r="C1143" s="89"/>
      <c r="D1143" s="89"/>
      <c r="E1143" s="89"/>
      <c r="F1143" s="89"/>
      <c r="G1143" s="89"/>
      <c r="H1143" s="89"/>
      <c r="I1143" s="89"/>
      <c r="J1143" s="89"/>
      <c r="K1143" s="89"/>
      <c r="L1143" s="89"/>
      <c r="M1143" s="89"/>
      <c r="N1143" s="90"/>
      <c r="O1143" s="90"/>
      <c r="P1143" s="90"/>
      <c r="Q1143" s="89"/>
    </row>
    <row r="1144" spans="1:17" ht="15.75" customHeight="1" x14ac:dyDescent="0.25">
      <c r="A1144" s="89"/>
      <c r="B1144" s="89"/>
      <c r="C1144" s="89"/>
      <c r="D1144" s="89"/>
      <c r="E1144" s="89"/>
      <c r="F1144" s="89"/>
      <c r="G1144" s="89"/>
      <c r="H1144" s="89"/>
      <c r="I1144" s="89"/>
      <c r="J1144" s="89"/>
      <c r="K1144" s="89"/>
      <c r="L1144" s="89"/>
      <c r="M1144" s="89"/>
      <c r="N1144" s="90"/>
      <c r="O1144" s="90"/>
      <c r="P1144" s="90"/>
      <c r="Q1144" s="89"/>
    </row>
    <row r="1145" spans="1:17" ht="15.75" customHeight="1" x14ac:dyDescent="0.25">
      <c r="A1145" s="89"/>
      <c r="B1145" s="89"/>
      <c r="C1145" s="89"/>
      <c r="D1145" s="89"/>
      <c r="E1145" s="89"/>
      <c r="F1145" s="89"/>
      <c r="G1145" s="89"/>
      <c r="H1145" s="89"/>
      <c r="I1145" s="89"/>
      <c r="J1145" s="89"/>
      <c r="K1145" s="89"/>
      <c r="L1145" s="89"/>
      <c r="M1145" s="89"/>
      <c r="N1145" s="90"/>
      <c r="O1145" s="90"/>
      <c r="P1145" s="90"/>
      <c r="Q1145" s="89"/>
    </row>
    <row r="1146" spans="1:17" ht="15.75" customHeight="1" x14ac:dyDescent="0.25">
      <c r="A1146" s="89"/>
      <c r="B1146" s="89"/>
      <c r="C1146" s="89"/>
      <c r="D1146" s="89"/>
      <c r="E1146" s="89"/>
      <c r="F1146" s="89"/>
      <c r="G1146" s="89"/>
      <c r="H1146" s="89"/>
      <c r="I1146" s="89"/>
      <c r="J1146" s="89"/>
      <c r="K1146" s="89"/>
      <c r="L1146" s="89"/>
      <c r="M1146" s="89"/>
      <c r="N1146" s="90"/>
      <c r="O1146" s="90"/>
      <c r="P1146" s="90"/>
      <c r="Q1146" s="89"/>
    </row>
    <row r="1147" spans="1:17" ht="15.75" customHeight="1" x14ac:dyDescent="0.25">
      <c r="A1147" s="89"/>
      <c r="B1147" s="89"/>
      <c r="C1147" s="89"/>
      <c r="D1147" s="89"/>
      <c r="E1147" s="89"/>
      <c r="F1147" s="89"/>
      <c r="G1147" s="89"/>
      <c r="H1147" s="89"/>
      <c r="I1147" s="89"/>
      <c r="J1147" s="89"/>
      <c r="K1147" s="89"/>
      <c r="L1147" s="89"/>
      <c r="M1147" s="89"/>
      <c r="N1147" s="90"/>
      <c r="O1147" s="90"/>
      <c r="P1147" s="90"/>
      <c r="Q1147" s="89"/>
    </row>
    <row r="1148" spans="1:17" ht="15.75" customHeight="1" x14ac:dyDescent="0.25">
      <c r="A1148" s="89"/>
      <c r="B1148" s="89"/>
      <c r="C1148" s="89"/>
      <c r="D1148" s="89"/>
      <c r="E1148" s="89"/>
      <c r="F1148" s="89"/>
      <c r="G1148" s="89"/>
      <c r="H1148" s="89"/>
      <c r="I1148" s="89"/>
      <c r="J1148" s="89"/>
      <c r="K1148" s="89"/>
      <c r="L1148" s="89"/>
      <c r="M1148" s="89"/>
      <c r="N1148" s="90"/>
      <c r="O1148" s="90"/>
      <c r="P1148" s="90"/>
      <c r="Q1148" s="89"/>
    </row>
    <row r="1149" spans="1:17" ht="15.75" customHeight="1" x14ac:dyDescent="0.25">
      <c r="A1149" s="89"/>
      <c r="B1149" s="89"/>
      <c r="C1149" s="89"/>
      <c r="D1149" s="89"/>
      <c r="E1149" s="89"/>
      <c r="F1149" s="89"/>
      <c r="G1149" s="89"/>
      <c r="H1149" s="89"/>
      <c r="I1149" s="89"/>
      <c r="J1149" s="89"/>
      <c r="K1149" s="89"/>
      <c r="L1149" s="89"/>
      <c r="M1149" s="89"/>
      <c r="N1149" s="90"/>
      <c r="O1149" s="90"/>
      <c r="P1149" s="90"/>
      <c r="Q1149" s="89"/>
    </row>
    <row r="1150" spans="1:17" ht="15.75" customHeight="1" x14ac:dyDescent="0.25">
      <c r="A1150" s="89"/>
      <c r="B1150" s="89"/>
      <c r="C1150" s="89"/>
      <c r="D1150" s="89"/>
      <c r="E1150" s="89"/>
      <c r="F1150" s="89"/>
      <c r="G1150" s="89"/>
      <c r="H1150" s="89"/>
      <c r="I1150" s="89"/>
      <c r="J1150" s="89"/>
      <c r="K1150" s="89"/>
      <c r="L1150" s="89"/>
      <c r="M1150" s="89"/>
      <c r="N1150" s="90"/>
      <c r="O1150" s="90"/>
      <c r="P1150" s="90"/>
      <c r="Q1150" s="89"/>
    </row>
    <row r="1151" spans="1:17" ht="15.75" customHeight="1" x14ac:dyDescent="0.25">
      <c r="A1151" s="89"/>
      <c r="B1151" s="89"/>
      <c r="C1151" s="89"/>
      <c r="D1151" s="89"/>
      <c r="E1151" s="89"/>
      <c r="F1151" s="89"/>
      <c r="G1151" s="89"/>
      <c r="H1151" s="89"/>
      <c r="I1151" s="89"/>
      <c r="J1151" s="89"/>
      <c r="K1151" s="89"/>
      <c r="L1151" s="89"/>
      <c r="M1151" s="89"/>
      <c r="N1151" s="90"/>
      <c r="O1151" s="90"/>
      <c r="P1151" s="90"/>
      <c r="Q1151" s="89"/>
    </row>
    <row r="1152" spans="1:17" ht="15.75" customHeight="1" x14ac:dyDescent="0.25">
      <c r="A1152" s="89"/>
      <c r="B1152" s="89"/>
      <c r="C1152" s="89"/>
      <c r="D1152" s="89"/>
      <c r="E1152" s="89"/>
      <c r="F1152" s="89"/>
      <c r="G1152" s="89"/>
      <c r="H1152" s="89"/>
      <c r="I1152" s="89"/>
      <c r="J1152" s="89"/>
      <c r="K1152" s="89"/>
      <c r="L1152" s="89"/>
      <c r="M1152" s="89"/>
      <c r="N1152" s="90"/>
      <c r="O1152" s="90"/>
      <c r="P1152" s="90"/>
      <c r="Q1152" s="89"/>
    </row>
    <row r="1153" spans="1:17" ht="15.75" customHeight="1" x14ac:dyDescent="0.25">
      <c r="A1153" s="89"/>
      <c r="B1153" s="89"/>
      <c r="C1153" s="89"/>
      <c r="D1153" s="89"/>
      <c r="E1153" s="89"/>
      <c r="F1153" s="89"/>
      <c r="G1153" s="89"/>
      <c r="H1153" s="89"/>
      <c r="I1153" s="89"/>
      <c r="J1153" s="89"/>
      <c r="K1153" s="89"/>
      <c r="L1153" s="89"/>
      <c r="M1153" s="89"/>
      <c r="N1153" s="90"/>
      <c r="O1153" s="90"/>
      <c r="P1153" s="90"/>
      <c r="Q1153" s="89"/>
    </row>
    <row r="1154" spans="1:17" ht="15.75" customHeight="1" x14ac:dyDescent="0.25">
      <c r="A1154" s="89"/>
      <c r="B1154" s="89"/>
      <c r="C1154" s="89"/>
      <c r="D1154" s="89"/>
      <c r="E1154" s="89"/>
      <c r="F1154" s="89"/>
      <c r="G1154" s="89"/>
      <c r="H1154" s="89"/>
      <c r="I1154" s="89"/>
      <c r="J1154" s="89"/>
      <c r="K1154" s="89"/>
      <c r="L1154" s="89"/>
      <c r="M1154" s="89"/>
      <c r="N1154" s="90"/>
      <c r="O1154" s="90"/>
      <c r="P1154" s="90"/>
      <c r="Q1154" s="89"/>
    </row>
    <row r="1155" spans="1:17" ht="15.75" customHeight="1" x14ac:dyDescent="0.25">
      <c r="A1155" s="89"/>
      <c r="B1155" s="89"/>
      <c r="C1155" s="89"/>
      <c r="D1155" s="89"/>
      <c r="E1155" s="89"/>
      <c r="F1155" s="89"/>
      <c r="G1155" s="89"/>
      <c r="H1155" s="89"/>
      <c r="I1155" s="89"/>
      <c r="J1155" s="89"/>
      <c r="K1155" s="89"/>
      <c r="L1155" s="89"/>
      <c r="M1155" s="89"/>
      <c r="N1155" s="90"/>
      <c r="O1155" s="90"/>
      <c r="P1155" s="90"/>
      <c r="Q1155" s="89"/>
    </row>
    <row r="1156" spans="1:17" ht="15.75" customHeight="1" x14ac:dyDescent="0.25">
      <c r="A1156" s="89"/>
      <c r="B1156" s="89"/>
      <c r="C1156" s="89"/>
      <c r="D1156" s="89"/>
      <c r="E1156" s="89"/>
      <c r="F1156" s="89"/>
      <c r="G1156" s="89"/>
      <c r="H1156" s="89"/>
      <c r="I1156" s="89"/>
      <c r="J1156" s="89"/>
      <c r="K1156" s="89"/>
      <c r="L1156" s="89"/>
      <c r="M1156" s="89"/>
      <c r="N1156" s="90"/>
      <c r="O1156" s="90"/>
      <c r="P1156" s="90"/>
      <c r="Q1156" s="89"/>
    </row>
    <row r="1157" spans="1:17" ht="15.75" customHeight="1" x14ac:dyDescent="0.25">
      <c r="A1157" s="89"/>
      <c r="B1157" s="89"/>
      <c r="C1157" s="89"/>
      <c r="D1157" s="89"/>
      <c r="E1157" s="89"/>
      <c r="F1157" s="89"/>
      <c r="G1157" s="89"/>
      <c r="H1157" s="89"/>
      <c r="I1157" s="89"/>
      <c r="J1157" s="89"/>
      <c r="K1157" s="89"/>
      <c r="L1157" s="89"/>
      <c r="M1157" s="89"/>
      <c r="N1157" s="90"/>
      <c r="O1157" s="90"/>
      <c r="P1157" s="90"/>
      <c r="Q1157" s="89"/>
    </row>
    <row r="1158" spans="1:17" ht="15.75" customHeight="1" x14ac:dyDescent="0.25">
      <c r="A1158" s="89"/>
      <c r="B1158" s="89"/>
      <c r="C1158" s="89"/>
      <c r="D1158" s="89"/>
      <c r="E1158" s="89"/>
      <c r="F1158" s="89"/>
      <c r="G1158" s="89"/>
      <c r="H1158" s="89"/>
      <c r="I1158" s="89"/>
      <c r="J1158" s="89"/>
      <c r="K1158" s="89"/>
      <c r="L1158" s="89"/>
      <c r="M1158" s="89"/>
      <c r="N1158" s="90"/>
      <c r="O1158" s="90"/>
      <c r="P1158" s="90"/>
      <c r="Q1158" s="89"/>
    </row>
    <row r="1159" spans="1:17" ht="15.75" customHeight="1" x14ac:dyDescent="0.25">
      <c r="A1159" s="89"/>
      <c r="B1159" s="89"/>
      <c r="C1159" s="89"/>
      <c r="D1159" s="89"/>
      <c r="E1159" s="89"/>
      <c r="F1159" s="89"/>
      <c r="G1159" s="89"/>
      <c r="H1159" s="89"/>
      <c r="I1159" s="89"/>
      <c r="J1159" s="89"/>
      <c r="K1159" s="89"/>
      <c r="L1159" s="89"/>
      <c r="M1159" s="89"/>
      <c r="N1159" s="90"/>
      <c r="O1159" s="90"/>
      <c r="P1159" s="90"/>
      <c r="Q1159" s="89"/>
    </row>
    <row r="1160" spans="1:17" ht="15.75" customHeight="1" x14ac:dyDescent="0.25">
      <c r="A1160" s="89"/>
      <c r="B1160" s="89"/>
      <c r="C1160" s="89"/>
      <c r="D1160" s="89"/>
      <c r="E1160" s="89"/>
      <c r="F1160" s="89"/>
      <c r="G1160" s="89"/>
      <c r="H1160" s="89"/>
      <c r="I1160" s="89"/>
      <c r="J1160" s="89"/>
      <c r="K1160" s="89"/>
      <c r="L1160" s="89"/>
      <c r="M1160" s="89"/>
      <c r="N1160" s="90"/>
      <c r="O1160" s="90"/>
      <c r="P1160" s="90"/>
      <c r="Q1160" s="89"/>
    </row>
    <row r="1161" spans="1:17" ht="15.75" customHeight="1" x14ac:dyDescent="0.25">
      <c r="A1161" s="89"/>
      <c r="B1161" s="89"/>
      <c r="C1161" s="89"/>
      <c r="D1161" s="89"/>
      <c r="E1161" s="89"/>
      <c r="F1161" s="89"/>
      <c r="G1161" s="89"/>
      <c r="H1161" s="89"/>
      <c r="I1161" s="89"/>
      <c r="J1161" s="89"/>
      <c r="K1161" s="89"/>
      <c r="L1161" s="89"/>
      <c r="M1161" s="89"/>
      <c r="N1161" s="90"/>
      <c r="O1161" s="90"/>
      <c r="P1161" s="90"/>
      <c r="Q1161" s="89"/>
    </row>
    <row r="1162" spans="1:17" ht="15.75" customHeight="1" x14ac:dyDescent="0.25">
      <c r="A1162" s="89"/>
      <c r="B1162" s="89"/>
      <c r="C1162" s="89"/>
      <c r="D1162" s="89"/>
      <c r="E1162" s="89"/>
      <c r="F1162" s="89"/>
      <c r="G1162" s="89"/>
      <c r="H1162" s="89"/>
      <c r="I1162" s="89"/>
      <c r="J1162" s="89"/>
      <c r="K1162" s="89"/>
      <c r="L1162" s="89"/>
      <c r="M1162" s="89"/>
      <c r="N1162" s="90"/>
      <c r="O1162" s="90"/>
      <c r="P1162" s="90"/>
      <c r="Q1162" s="89"/>
    </row>
    <row r="1163" spans="1:17" ht="15.75" customHeight="1" x14ac:dyDescent="0.25">
      <c r="A1163" s="89"/>
      <c r="B1163" s="89"/>
      <c r="C1163" s="89"/>
      <c r="D1163" s="89"/>
      <c r="E1163" s="89"/>
      <c r="F1163" s="89"/>
      <c r="G1163" s="89"/>
      <c r="H1163" s="89"/>
      <c r="I1163" s="89"/>
      <c r="J1163" s="89"/>
      <c r="K1163" s="89"/>
      <c r="L1163" s="89"/>
      <c r="M1163" s="89"/>
      <c r="N1163" s="90"/>
      <c r="O1163" s="90"/>
      <c r="P1163" s="90"/>
      <c r="Q1163" s="89"/>
    </row>
    <row r="1164" spans="1:17" ht="15.75" customHeight="1" x14ac:dyDescent="0.25">
      <c r="A1164" s="89"/>
      <c r="B1164" s="89"/>
      <c r="C1164" s="89"/>
      <c r="D1164" s="89"/>
      <c r="E1164" s="89"/>
      <c r="F1164" s="89"/>
      <c r="G1164" s="89"/>
      <c r="H1164" s="89"/>
      <c r="I1164" s="89"/>
      <c r="J1164" s="89"/>
      <c r="K1164" s="89"/>
      <c r="L1164" s="89"/>
      <c r="M1164" s="89"/>
      <c r="N1164" s="90"/>
      <c r="O1164" s="90"/>
      <c r="P1164" s="90"/>
      <c r="Q1164" s="89"/>
    </row>
    <row r="1165" spans="1:17" ht="15.75" customHeight="1" x14ac:dyDescent="0.25">
      <c r="A1165" s="89"/>
      <c r="B1165" s="89"/>
      <c r="C1165" s="89"/>
      <c r="D1165" s="89"/>
      <c r="E1165" s="89"/>
      <c r="F1165" s="89"/>
      <c r="G1165" s="89"/>
      <c r="H1165" s="89"/>
      <c r="I1165" s="89"/>
      <c r="J1165" s="89"/>
      <c r="K1165" s="89"/>
      <c r="L1165" s="89"/>
      <c r="M1165" s="89"/>
      <c r="N1165" s="90"/>
      <c r="O1165" s="90"/>
      <c r="P1165" s="90"/>
      <c r="Q1165" s="89"/>
    </row>
    <row r="1166" spans="1:17" ht="15.75" customHeight="1" x14ac:dyDescent="0.25">
      <c r="A1166" s="89"/>
      <c r="B1166" s="89"/>
      <c r="C1166" s="89"/>
      <c r="D1166" s="89"/>
      <c r="E1166" s="89"/>
      <c r="F1166" s="89"/>
      <c r="G1166" s="89"/>
      <c r="H1166" s="89"/>
      <c r="I1166" s="89"/>
      <c r="J1166" s="89"/>
      <c r="K1166" s="89"/>
      <c r="L1166" s="89"/>
      <c r="M1166" s="89"/>
      <c r="N1166" s="90"/>
      <c r="O1166" s="90"/>
      <c r="P1166" s="90"/>
      <c r="Q1166" s="89"/>
    </row>
    <row r="1167" spans="1:17" ht="15.75" customHeight="1" x14ac:dyDescent="0.25">
      <c r="A1167" s="89"/>
      <c r="B1167" s="89"/>
      <c r="C1167" s="89"/>
      <c r="D1167" s="89"/>
      <c r="E1167" s="89"/>
      <c r="F1167" s="89"/>
      <c r="G1167" s="89"/>
      <c r="H1167" s="89"/>
      <c r="I1167" s="89"/>
      <c r="J1167" s="89"/>
      <c r="K1167" s="89"/>
      <c r="L1167" s="89"/>
      <c r="M1167" s="89"/>
      <c r="N1167" s="90"/>
      <c r="O1167" s="90"/>
      <c r="P1167" s="90"/>
      <c r="Q1167" s="89"/>
    </row>
    <row r="1168" spans="1:17" ht="15.75" customHeight="1" x14ac:dyDescent="0.25">
      <c r="A1168" s="89"/>
      <c r="B1168" s="89"/>
      <c r="C1168" s="89"/>
      <c r="D1168" s="89"/>
      <c r="E1168" s="89"/>
      <c r="F1168" s="89"/>
      <c r="G1168" s="89"/>
      <c r="H1168" s="89"/>
      <c r="I1168" s="89"/>
      <c r="J1168" s="89"/>
      <c r="K1168" s="89"/>
      <c r="L1168" s="89"/>
      <c r="M1168" s="89"/>
      <c r="N1168" s="90"/>
      <c r="O1168" s="90"/>
      <c r="P1168" s="90"/>
      <c r="Q1168" s="89"/>
    </row>
    <row r="1169" spans="1:17" ht="15.75" customHeight="1" x14ac:dyDescent="0.25">
      <c r="A1169" s="89"/>
      <c r="B1169" s="89"/>
      <c r="C1169" s="89"/>
      <c r="D1169" s="89"/>
      <c r="E1169" s="89"/>
      <c r="F1169" s="89"/>
      <c r="G1169" s="89"/>
      <c r="H1169" s="89"/>
      <c r="I1169" s="89"/>
      <c r="J1169" s="89"/>
      <c r="K1169" s="89"/>
      <c r="L1169" s="89"/>
      <c r="M1169" s="89"/>
      <c r="N1169" s="90"/>
      <c r="O1169" s="90"/>
      <c r="P1169" s="90"/>
      <c r="Q1169" s="89"/>
    </row>
    <row r="1170" spans="1:17" ht="15.75" customHeight="1" x14ac:dyDescent="0.25">
      <c r="A1170" s="89"/>
      <c r="B1170" s="89"/>
      <c r="C1170" s="89"/>
      <c r="D1170" s="89"/>
      <c r="E1170" s="89"/>
      <c r="F1170" s="89"/>
      <c r="G1170" s="89"/>
      <c r="H1170" s="89"/>
      <c r="I1170" s="89"/>
      <c r="J1170" s="89"/>
      <c r="K1170" s="89"/>
      <c r="L1170" s="89"/>
      <c r="M1170" s="89"/>
      <c r="N1170" s="90"/>
      <c r="O1170" s="90"/>
      <c r="P1170" s="90"/>
      <c r="Q1170" s="89"/>
    </row>
    <row r="1171" spans="1:17" ht="15.75" customHeight="1" x14ac:dyDescent="0.25">
      <c r="A1171" s="89"/>
      <c r="B1171" s="89"/>
      <c r="C1171" s="89"/>
      <c r="D1171" s="89"/>
      <c r="E1171" s="89"/>
      <c r="F1171" s="89"/>
      <c r="G1171" s="89"/>
      <c r="H1171" s="89"/>
      <c r="I1171" s="89"/>
      <c r="J1171" s="89"/>
      <c r="K1171" s="89"/>
      <c r="L1171" s="89"/>
      <c r="M1171" s="89"/>
      <c r="N1171" s="90"/>
      <c r="O1171" s="90"/>
      <c r="P1171" s="90"/>
      <c r="Q1171" s="89"/>
    </row>
    <row r="1172" spans="1:17" ht="15.75" customHeight="1" x14ac:dyDescent="0.25">
      <c r="A1172" s="89"/>
      <c r="B1172" s="89"/>
      <c r="C1172" s="89"/>
      <c r="D1172" s="89"/>
      <c r="E1172" s="89"/>
      <c r="F1172" s="89"/>
      <c r="G1172" s="89"/>
      <c r="H1172" s="89"/>
      <c r="I1172" s="89"/>
      <c r="J1172" s="89"/>
      <c r="K1172" s="89"/>
      <c r="L1172" s="89"/>
      <c r="M1172" s="89"/>
      <c r="N1172" s="90"/>
      <c r="O1172" s="90"/>
      <c r="P1172" s="90"/>
      <c r="Q1172" s="89"/>
    </row>
    <row r="1173" spans="1:17" ht="15.75" customHeight="1" x14ac:dyDescent="0.25">
      <c r="A1173" s="89"/>
      <c r="B1173" s="89"/>
      <c r="C1173" s="89"/>
      <c r="D1173" s="89"/>
      <c r="E1173" s="89"/>
      <c r="F1173" s="89"/>
      <c r="G1173" s="89"/>
      <c r="H1173" s="89"/>
      <c r="I1173" s="89"/>
      <c r="J1173" s="89"/>
      <c r="K1173" s="89"/>
      <c r="L1173" s="89"/>
      <c r="M1173" s="89"/>
      <c r="N1173" s="90"/>
      <c r="O1173" s="90"/>
      <c r="P1173" s="90"/>
      <c r="Q1173" s="89"/>
    </row>
    <row r="1174" spans="1:17" ht="15.75" customHeight="1" x14ac:dyDescent="0.25">
      <c r="A1174" s="89"/>
      <c r="B1174" s="89"/>
      <c r="C1174" s="89"/>
      <c r="D1174" s="89"/>
      <c r="E1174" s="89"/>
      <c r="F1174" s="89"/>
      <c r="G1174" s="89"/>
      <c r="H1174" s="89"/>
      <c r="I1174" s="89"/>
      <c r="J1174" s="89"/>
      <c r="K1174" s="89"/>
      <c r="L1174" s="89"/>
      <c r="M1174" s="89"/>
      <c r="N1174" s="90"/>
      <c r="O1174" s="90"/>
      <c r="P1174" s="90"/>
      <c r="Q1174" s="89"/>
    </row>
    <row r="1175" spans="1:17" ht="15.75" customHeight="1" x14ac:dyDescent="0.25">
      <c r="A1175" s="89"/>
      <c r="B1175" s="89"/>
      <c r="C1175" s="89"/>
      <c r="D1175" s="89"/>
      <c r="E1175" s="89"/>
      <c r="F1175" s="89"/>
      <c r="G1175" s="89"/>
      <c r="H1175" s="89"/>
      <c r="I1175" s="89"/>
      <c r="J1175" s="89"/>
      <c r="K1175" s="89"/>
      <c r="L1175" s="89"/>
      <c r="M1175" s="89"/>
      <c r="N1175" s="90"/>
      <c r="O1175" s="90"/>
      <c r="P1175" s="90"/>
      <c r="Q1175" s="89"/>
    </row>
    <row r="1176" spans="1:17" ht="15.75" customHeight="1" x14ac:dyDescent="0.25">
      <c r="A1176" s="89"/>
      <c r="B1176" s="89"/>
      <c r="C1176" s="89"/>
      <c r="D1176" s="89"/>
      <c r="E1176" s="89"/>
      <c r="F1176" s="89"/>
      <c r="G1176" s="89"/>
      <c r="H1176" s="89"/>
      <c r="I1176" s="89"/>
      <c r="J1176" s="89"/>
      <c r="K1176" s="89"/>
      <c r="L1176" s="89"/>
      <c r="M1176" s="89"/>
      <c r="N1176" s="90"/>
      <c r="O1176" s="90"/>
      <c r="P1176" s="90"/>
      <c r="Q1176" s="89"/>
    </row>
    <row r="1177" spans="1:17" ht="15.75" customHeight="1" x14ac:dyDescent="0.25">
      <c r="A1177" s="89"/>
      <c r="B1177" s="89"/>
      <c r="C1177" s="89"/>
      <c r="D1177" s="89"/>
      <c r="E1177" s="89"/>
      <c r="F1177" s="89"/>
      <c r="G1177" s="89"/>
      <c r="H1177" s="89"/>
      <c r="I1177" s="89"/>
      <c r="J1177" s="89"/>
      <c r="K1177" s="89"/>
      <c r="L1177" s="89"/>
      <c r="M1177" s="89"/>
      <c r="N1177" s="90"/>
      <c r="O1177" s="90"/>
      <c r="P1177" s="90"/>
      <c r="Q1177" s="89"/>
    </row>
    <row r="1178" spans="1:17" ht="15.75" customHeight="1" x14ac:dyDescent="0.25">
      <c r="A1178" s="89"/>
      <c r="B1178" s="89"/>
      <c r="C1178" s="89"/>
      <c r="D1178" s="89"/>
      <c r="E1178" s="89"/>
      <c r="F1178" s="89"/>
      <c r="G1178" s="89"/>
      <c r="H1178" s="89"/>
      <c r="I1178" s="89"/>
      <c r="J1178" s="89"/>
      <c r="K1178" s="89"/>
      <c r="L1178" s="89"/>
      <c r="M1178" s="89"/>
      <c r="N1178" s="90"/>
      <c r="O1178" s="90"/>
      <c r="P1178" s="90"/>
      <c r="Q1178" s="89"/>
    </row>
    <row r="1179" spans="1:17" ht="15.75" customHeight="1" x14ac:dyDescent="0.25">
      <c r="A1179" s="89"/>
      <c r="B1179" s="89"/>
      <c r="C1179" s="89"/>
      <c r="D1179" s="89"/>
      <c r="E1179" s="89"/>
      <c r="F1179" s="89"/>
      <c r="G1179" s="89"/>
      <c r="H1179" s="89"/>
      <c r="I1179" s="89"/>
      <c r="J1179" s="89"/>
      <c r="K1179" s="89"/>
      <c r="L1179" s="89"/>
      <c r="M1179" s="89"/>
      <c r="N1179" s="90"/>
      <c r="O1179" s="90"/>
      <c r="P1179" s="90"/>
      <c r="Q1179" s="89"/>
    </row>
    <row r="1180" spans="1:17" ht="15.75" customHeight="1" x14ac:dyDescent="0.25">
      <c r="A1180" s="89"/>
      <c r="B1180" s="89"/>
      <c r="C1180" s="89"/>
      <c r="D1180" s="89"/>
      <c r="E1180" s="89"/>
      <c r="F1180" s="89"/>
      <c r="G1180" s="89"/>
      <c r="H1180" s="89"/>
      <c r="I1180" s="89"/>
      <c r="J1180" s="89"/>
      <c r="K1180" s="89"/>
      <c r="L1180" s="89"/>
      <c r="M1180" s="89"/>
      <c r="N1180" s="90"/>
      <c r="O1180" s="90"/>
      <c r="P1180" s="90"/>
      <c r="Q1180" s="89"/>
    </row>
    <row r="1181" spans="1:17" ht="15.75" customHeight="1" x14ac:dyDescent="0.25">
      <c r="A1181" s="89"/>
      <c r="B1181" s="89"/>
      <c r="C1181" s="89"/>
      <c r="D1181" s="89"/>
      <c r="E1181" s="89"/>
      <c r="F1181" s="89"/>
      <c r="G1181" s="89"/>
      <c r="H1181" s="89"/>
      <c r="I1181" s="89"/>
      <c r="J1181" s="89"/>
      <c r="K1181" s="89"/>
      <c r="L1181" s="89"/>
      <c r="M1181" s="89"/>
      <c r="N1181" s="90"/>
      <c r="O1181" s="90"/>
      <c r="P1181" s="90"/>
      <c r="Q1181" s="89"/>
    </row>
    <row r="1182" spans="1:17" ht="15.75" customHeight="1" x14ac:dyDescent="0.25">
      <c r="A1182" s="89"/>
      <c r="B1182" s="89"/>
      <c r="C1182" s="89"/>
      <c r="D1182" s="89"/>
      <c r="E1182" s="89"/>
      <c r="F1182" s="89"/>
      <c r="G1182" s="89"/>
      <c r="H1182" s="89"/>
      <c r="I1182" s="89"/>
      <c r="J1182" s="89"/>
      <c r="K1182" s="89"/>
      <c r="L1182" s="89"/>
      <c r="M1182" s="89"/>
      <c r="N1182" s="90"/>
      <c r="O1182" s="90"/>
      <c r="P1182" s="90"/>
      <c r="Q1182" s="89"/>
    </row>
    <row r="1183" spans="1:17" ht="15.75" customHeight="1" x14ac:dyDescent="0.25">
      <c r="A1183" s="89"/>
      <c r="B1183" s="89"/>
      <c r="C1183" s="89"/>
      <c r="D1183" s="89"/>
      <c r="E1183" s="89"/>
      <c r="F1183" s="89"/>
      <c r="G1183" s="89"/>
      <c r="H1183" s="89"/>
      <c r="I1183" s="89"/>
      <c r="J1183" s="89"/>
      <c r="K1183" s="89"/>
      <c r="L1183" s="89"/>
      <c r="M1183" s="89"/>
      <c r="N1183" s="90"/>
      <c r="O1183" s="90"/>
      <c r="P1183" s="90"/>
      <c r="Q1183" s="89"/>
    </row>
    <row r="1184" spans="1:17" ht="15.75" customHeight="1" x14ac:dyDescent="0.25">
      <c r="A1184" s="89"/>
      <c r="B1184" s="89"/>
      <c r="C1184" s="89"/>
      <c r="D1184" s="89"/>
      <c r="E1184" s="89"/>
      <c r="F1184" s="89"/>
      <c r="G1184" s="89"/>
      <c r="H1184" s="89"/>
      <c r="I1184" s="89"/>
      <c r="J1184" s="89"/>
      <c r="K1184" s="89"/>
      <c r="L1184" s="89"/>
      <c r="M1184" s="89"/>
      <c r="N1184" s="90"/>
      <c r="O1184" s="90"/>
      <c r="P1184" s="90"/>
      <c r="Q1184" s="89"/>
    </row>
    <row r="1185" spans="1:17" ht="15.75" customHeight="1" x14ac:dyDescent="0.25">
      <c r="A1185" s="89"/>
      <c r="B1185" s="89"/>
      <c r="C1185" s="89"/>
      <c r="D1185" s="89"/>
      <c r="E1185" s="89"/>
      <c r="F1185" s="89"/>
      <c r="G1185" s="89"/>
      <c r="H1185" s="89"/>
      <c r="I1185" s="89"/>
      <c r="J1185" s="89"/>
      <c r="K1185" s="89"/>
      <c r="L1185" s="89"/>
      <c r="M1185" s="89"/>
      <c r="N1185" s="90"/>
      <c r="O1185" s="90"/>
      <c r="P1185" s="90"/>
      <c r="Q1185" s="89"/>
    </row>
    <row r="1186" spans="1:17" ht="15.75" customHeight="1" x14ac:dyDescent="0.25">
      <c r="A1186" s="89"/>
      <c r="B1186" s="89"/>
      <c r="C1186" s="89"/>
      <c r="D1186" s="89"/>
      <c r="E1186" s="89"/>
      <c r="F1186" s="89"/>
      <c r="G1186" s="89"/>
      <c r="H1186" s="89"/>
      <c r="I1186" s="89"/>
      <c r="J1186" s="89"/>
      <c r="K1186" s="89"/>
      <c r="L1186" s="89"/>
      <c r="M1186" s="89"/>
      <c r="N1186" s="90"/>
      <c r="O1186" s="90"/>
      <c r="P1186" s="90"/>
      <c r="Q1186" s="89"/>
    </row>
    <row r="1187" spans="1:17" ht="15.75" customHeight="1" x14ac:dyDescent="0.25">
      <c r="A1187" s="89"/>
      <c r="B1187" s="89"/>
      <c r="C1187" s="89"/>
      <c r="D1187" s="89"/>
      <c r="E1187" s="89"/>
      <c r="F1187" s="89"/>
      <c r="G1187" s="89"/>
      <c r="H1187" s="89"/>
      <c r="I1187" s="89"/>
      <c r="J1187" s="89"/>
      <c r="K1187" s="89"/>
      <c r="L1187" s="89"/>
      <c r="M1187" s="89"/>
      <c r="N1187" s="90"/>
      <c r="O1187" s="90"/>
      <c r="P1187" s="90"/>
      <c r="Q1187" s="89"/>
    </row>
    <row r="1188" spans="1:17" ht="15.75" customHeight="1" x14ac:dyDescent="0.25">
      <c r="A1188" s="89"/>
      <c r="B1188" s="89"/>
      <c r="C1188" s="89"/>
      <c r="D1188" s="89"/>
      <c r="E1188" s="89"/>
      <c r="F1188" s="89"/>
      <c r="G1188" s="89"/>
      <c r="H1188" s="89"/>
      <c r="I1188" s="89"/>
      <c r="J1188" s="89"/>
      <c r="K1188" s="89"/>
      <c r="L1188" s="89"/>
      <c r="M1188" s="89"/>
      <c r="N1188" s="90"/>
      <c r="O1188" s="90"/>
      <c r="P1188" s="90"/>
      <c r="Q1188" s="89"/>
    </row>
    <row r="1189" spans="1:17" ht="15.75" customHeight="1" x14ac:dyDescent="0.25">
      <c r="A1189" s="89"/>
      <c r="B1189" s="89"/>
      <c r="C1189" s="89"/>
      <c r="D1189" s="89"/>
      <c r="E1189" s="89"/>
      <c r="F1189" s="89"/>
      <c r="G1189" s="89"/>
      <c r="H1189" s="89"/>
      <c r="I1189" s="89"/>
      <c r="J1189" s="89"/>
      <c r="K1189" s="89"/>
      <c r="L1189" s="89"/>
      <c r="M1189" s="89"/>
      <c r="N1189" s="90"/>
      <c r="O1189" s="90"/>
      <c r="P1189" s="90"/>
      <c r="Q1189" s="89"/>
    </row>
    <row r="1190" spans="1:17" ht="15.75" customHeight="1" x14ac:dyDescent="0.25">
      <c r="A1190" s="89"/>
      <c r="B1190" s="89"/>
      <c r="C1190" s="89"/>
      <c r="D1190" s="89"/>
      <c r="E1190" s="89"/>
      <c r="F1190" s="89"/>
      <c r="G1190" s="89"/>
      <c r="H1190" s="89"/>
      <c r="I1190" s="89"/>
      <c r="J1190" s="89"/>
      <c r="K1190" s="89"/>
      <c r="L1190" s="89"/>
      <c r="M1190" s="89"/>
      <c r="N1190" s="90"/>
      <c r="O1190" s="90"/>
      <c r="P1190" s="90"/>
      <c r="Q1190" s="89"/>
    </row>
    <row r="1191" spans="1:17" ht="15.75" customHeight="1" x14ac:dyDescent="0.25">
      <c r="A1191" s="89"/>
      <c r="B1191" s="89"/>
      <c r="C1191" s="89"/>
      <c r="D1191" s="89"/>
      <c r="E1191" s="89"/>
      <c r="F1191" s="89"/>
      <c r="G1191" s="89"/>
      <c r="H1191" s="89"/>
      <c r="I1191" s="89"/>
      <c r="J1191" s="89"/>
      <c r="K1191" s="89"/>
      <c r="L1191" s="89"/>
      <c r="M1191" s="89"/>
      <c r="N1191" s="90"/>
      <c r="O1191" s="90"/>
      <c r="P1191" s="90"/>
      <c r="Q1191" s="89"/>
    </row>
    <row r="1192" spans="1:17" ht="15.75" customHeight="1" x14ac:dyDescent="0.25">
      <c r="A1192" s="89"/>
      <c r="B1192" s="89"/>
      <c r="C1192" s="89"/>
      <c r="D1192" s="89"/>
      <c r="E1192" s="89"/>
      <c r="F1192" s="89"/>
      <c r="G1192" s="89"/>
      <c r="H1192" s="89"/>
      <c r="I1192" s="89"/>
      <c r="J1192" s="89"/>
      <c r="K1192" s="89"/>
      <c r="L1192" s="89"/>
      <c r="M1192" s="89"/>
      <c r="N1192" s="90"/>
      <c r="O1192" s="90"/>
      <c r="P1192" s="90"/>
      <c r="Q1192" s="89"/>
    </row>
    <row r="1193" spans="1:17" ht="15.75" customHeight="1" x14ac:dyDescent="0.25">
      <c r="A1193" s="89"/>
      <c r="B1193" s="89"/>
      <c r="C1193" s="89"/>
      <c r="D1193" s="89"/>
      <c r="E1193" s="89"/>
      <c r="F1193" s="89"/>
      <c r="G1193" s="89"/>
      <c r="H1193" s="89"/>
      <c r="I1193" s="89"/>
      <c r="J1193" s="89"/>
      <c r="K1193" s="89"/>
      <c r="L1193" s="89"/>
      <c r="M1193" s="89"/>
      <c r="N1193" s="90"/>
      <c r="O1193" s="90"/>
      <c r="P1193" s="90"/>
      <c r="Q1193" s="89"/>
    </row>
    <row r="1194" spans="1:17" ht="15.75" customHeight="1" x14ac:dyDescent="0.25">
      <c r="A1194" s="89"/>
      <c r="B1194" s="89"/>
      <c r="C1194" s="89"/>
      <c r="D1194" s="89"/>
      <c r="E1194" s="89"/>
      <c r="F1194" s="89"/>
      <c r="G1194" s="89"/>
      <c r="H1194" s="89"/>
      <c r="I1194" s="89"/>
      <c r="J1194" s="89"/>
      <c r="K1194" s="89"/>
      <c r="L1194" s="89"/>
      <c r="M1194" s="89"/>
      <c r="N1194" s="90"/>
      <c r="O1194" s="90"/>
      <c r="P1194" s="90"/>
      <c r="Q1194" s="89"/>
    </row>
    <row r="1195" spans="1:17" ht="15.75" customHeight="1" x14ac:dyDescent="0.25">
      <c r="A1195" s="89"/>
      <c r="B1195" s="89"/>
      <c r="C1195" s="89"/>
      <c r="D1195" s="89"/>
      <c r="E1195" s="89"/>
      <c r="F1195" s="89"/>
      <c r="G1195" s="89"/>
      <c r="H1195" s="89"/>
      <c r="I1195" s="89"/>
      <c r="J1195" s="89"/>
      <c r="K1195" s="89"/>
      <c r="L1195" s="89"/>
      <c r="M1195" s="89"/>
      <c r="N1195" s="90"/>
      <c r="O1195" s="90"/>
      <c r="P1195" s="90"/>
      <c r="Q1195" s="89"/>
    </row>
    <row r="1196" spans="1:17" ht="15.75" customHeight="1" x14ac:dyDescent="0.25">
      <c r="A1196" s="89"/>
      <c r="B1196" s="89"/>
      <c r="C1196" s="89"/>
      <c r="D1196" s="89"/>
      <c r="E1196" s="89"/>
      <c r="F1196" s="89"/>
      <c r="G1196" s="89"/>
      <c r="H1196" s="89"/>
      <c r="I1196" s="89"/>
      <c r="J1196" s="89"/>
      <c r="K1196" s="89"/>
      <c r="L1196" s="89"/>
      <c r="M1196" s="89"/>
      <c r="N1196" s="90"/>
      <c r="O1196" s="90"/>
      <c r="P1196" s="90"/>
      <c r="Q1196" s="89"/>
    </row>
    <row r="1197" spans="1:17" ht="15.75" customHeight="1" x14ac:dyDescent="0.25">
      <c r="A1197" s="89"/>
      <c r="B1197" s="89"/>
      <c r="C1197" s="89"/>
      <c r="D1197" s="89"/>
      <c r="E1197" s="89"/>
      <c r="F1197" s="89"/>
      <c r="G1197" s="89"/>
      <c r="H1197" s="89"/>
      <c r="I1197" s="89"/>
      <c r="J1197" s="89"/>
      <c r="K1197" s="89"/>
      <c r="L1197" s="89"/>
      <c r="M1197" s="89"/>
      <c r="N1197" s="90"/>
      <c r="O1197" s="90"/>
      <c r="P1197" s="90"/>
      <c r="Q1197" s="89"/>
    </row>
    <row r="1198" spans="1:17" ht="15.75" customHeight="1" x14ac:dyDescent="0.25">
      <c r="A1198" s="89"/>
      <c r="B1198" s="89"/>
      <c r="C1198" s="89"/>
      <c r="D1198" s="89"/>
      <c r="E1198" s="89"/>
      <c r="F1198" s="89"/>
      <c r="G1198" s="89"/>
      <c r="H1198" s="89"/>
      <c r="I1198" s="89"/>
      <c r="J1198" s="89"/>
      <c r="K1198" s="89"/>
      <c r="L1198" s="89"/>
      <c r="M1198" s="89"/>
      <c r="N1198" s="90"/>
      <c r="O1198" s="90"/>
      <c r="P1198" s="90"/>
      <c r="Q1198" s="89"/>
    </row>
    <row r="1199" spans="1:17" ht="15.75" customHeight="1" x14ac:dyDescent="0.25">
      <c r="A1199" s="89"/>
      <c r="B1199" s="89"/>
      <c r="C1199" s="89"/>
      <c r="D1199" s="89"/>
      <c r="E1199" s="89"/>
      <c r="F1199" s="89"/>
      <c r="G1199" s="89"/>
      <c r="H1199" s="89"/>
      <c r="I1199" s="89"/>
      <c r="J1199" s="89"/>
      <c r="K1199" s="89"/>
      <c r="L1199" s="89"/>
      <c r="M1199" s="89"/>
      <c r="N1199" s="90"/>
      <c r="O1199" s="90"/>
      <c r="P1199" s="90"/>
      <c r="Q1199" s="89"/>
    </row>
    <row r="1200" spans="1:17" ht="15.75" customHeight="1" x14ac:dyDescent="0.25">
      <c r="A1200" s="89"/>
      <c r="B1200" s="89"/>
      <c r="C1200" s="89"/>
      <c r="D1200" s="89"/>
      <c r="E1200" s="89"/>
      <c r="F1200" s="89"/>
      <c r="G1200" s="89"/>
      <c r="H1200" s="89"/>
      <c r="I1200" s="89"/>
      <c r="J1200" s="89"/>
      <c r="K1200" s="89"/>
      <c r="L1200" s="89"/>
      <c r="M1200" s="89"/>
      <c r="N1200" s="90"/>
      <c r="O1200" s="90"/>
      <c r="P1200" s="90"/>
      <c r="Q1200" s="89"/>
    </row>
    <row r="1201" spans="1:17" ht="15.75" customHeight="1" x14ac:dyDescent="0.25">
      <c r="A1201" s="89"/>
      <c r="B1201" s="89"/>
      <c r="C1201" s="89"/>
      <c r="D1201" s="89"/>
      <c r="E1201" s="89"/>
      <c r="F1201" s="89"/>
      <c r="G1201" s="89"/>
      <c r="H1201" s="89"/>
      <c r="I1201" s="89"/>
      <c r="J1201" s="89"/>
      <c r="K1201" s="89"/>
      <c r="L1201" s="89"/>
      <c r="M1201" s="89"/>
      <c r="N1201" s="90"/>
      <c r="O1201" s="90"/>
      <c r="P1201" s="90"/>
      <c r="Q1201" s="89"/>
    </row>
    <row r="1202" spans="1:17" ht="15.75" customHeight="1" x14ac:dyDescent="0.25">
      <c r="A1202" s="89"/>
      <c r="B1202" s="89"/>
      <c r="C1202" s="89"/>
      <c r="D1202" s="89"/>
      <c r="E1202" s="89"/>
      <c r="F1202" s="89"/>
      <c r="G1202" s="89"/>
      <c r="H1202" s="89"/>
      <c r="I1202" s="89"/>
      <c r="J1202" s="89"/>
      <c r="K1202" s="89"/>
      <c r="L1202" s="89"/>
      <c r="M1202" s="89"/>
      <c r="N1202" s="90"/>
      <c r="O1202" s="90"/>
      <c r="P1202" s="90"/>
      <c r="Q1202" s="89"/>
    </row>
    <row r="1203" spans="1:17" ht="15.75" customHeight="1" x14ac:dyDescent="0.25">
      <c r="A1203" s="89"/>
      <c r="B1203" s="89"/>
      <c r="C1203" s="89"/>
      <c r="D1203" s="89"/>
      <c r="E1203" s="89"/>
      <c r="F1203" s="89"/>
      <c r="G1203" s="89"/>
      <c r="H1203" s="89"/>
      <c r="I1203" s="89"/>
      <c r="J1203" s="89"/>
      <c r="K1203" s="89"/>
      <c r="L1203" s="89"/>
      <c r="M1203" s="89"/>
      <c r="N1203" s="90"/>
      <c r="O1203" s="90"/>
      <c r="P1203" s="90"/>
      <c r="Q1203" s="89"/>
    </row>
    <row r="1204" spans="1:17" ht="15.75" customHeight="1" x14ac:dyDescent="0.25">
      <c r="A1204" s="89"/>
      <c r="B1204" s="89"/>
      <c r="C1204" s="89"/>
      <c r="D1204" s="89"/>
      <c r="E1204" s="89"/>
      <c r="F1204" s="89"/>
      <c r="G1204" s="89"/>
      <c r="H1204" s="89"/>
      <c r="I1204" s="89"/>
      <c r="J1204" s="89"/>
      <c r="K1204" s="89"/>
      <c r="L1204" s="89"/>
      <c r="M1204" s="89"/>
      <c r="N1204" s="90"/>
      <c r="O1204" s="90"/>
      <c r="P1204" s="90"/>
      <c r="Q1204" s="89"/>
    </row>
    <row r="1205" spans="1:17" ht="15.75" customHeight="1" x14ac:dyDescent="0.25">
      <c r="A1205" s="89"/>
      <c r="B1205" s="89"/>
      <c r="C1205" s="89"/>
      <c r="D1205" s="89"/>
      <c r="E1205" s="89"/>
      <c r="F1205" s="89"/>
      <c r="G1205" s="89"/>
      <c r="H1205" s="89"/>
      <c r="I1205" s="89"/>
      <c r="J1205" s="89"/>
      <c r="K1205" s="89"/>
      <c r="L1205" s="89"/>
      <c r="M1205" s="89"/>
      <c r="N1205" s="90"/>
      <c r="O1205" s="90"/>
      <c r="P1205" s="90"/>
      <c r="Q1205" s="89"/>
    </row>
    <row r="1206" spans="1:17" ht="15.75" customHeight="1" x14ac:dyDescent="0.25">
      <c r="A1206" s="89"/>
      <c r="B1206" s="89"/>
      <c r="C1206" s="89"/>
      <c r="D1206" s="89"/>
      <c r="E1206" s="89"/>
      <c r="F1206" s="89"/>
      <c r="G1206" s="89"/>
      <c r="H1206" s="89"/>
      <c r="I1206" s="89"/>
      <c r="J1206" s="89"/>
      <c r="K1206" s="89"/>
      <c r="L1206" s="89"/>
      <c r="M1206" s="89"/>
      <c r="N1206" s="90"/>
      <c r="O1206" s="90"/>
      <c r="P1206" s="90"/>
      <c r="Q1206" s="89"/>
    </row>
    <row r="1207" spans="1:17" ht="15.75" customHeight="1" x14ac:dyDescent="0.25">
      <c r="A1207" s="89"/>
      <c r="B1207" s="89"/>
      <c r="C1207" s="89"/>
      <c r="D1207" s="89"/>
      <c r="E1207" s="89"/>
      <c r="F1207" s="89"/>
      <c r="G1207" s="89"/>
      <c r="H1207" s="89"/>
      <c r="I1207" s="89"/>
      <c r="J1207" s="89"/>
      <c r="K1207" s="89"/>
      <c r="L1207" s="89"/>
      <c r="M1207" s="89"/>
      <c r="N1207" s="90"/>
      <c r="O1207" s="90"/>
      <c r="P1207" s="90"/>
      <c r="Q1207" s="89"/>
    </row>
    <row r="1208" spans="1:17" ht="15.75" customHeight="1" x14ac:dyDescent="0.25">
      <c r="A1208" s="89"/>
      <c r="B1208" s="89"/>
      <c r="C1208" s="89"/>
      <c r="D1208" s="89"/>
      <c r="E1208" s="89"/>
      <c r="F1208" s="89"/>
      <c r="G1208" s="89"/>
      <c r="H1208" s="89"/>
      <c r="I1208" s="89"/>
      <c r="J1208" s="89"/>
      <c r="K1208" s="89"/>
      <c r="L1208" s="89"/>
      <c r="M1208" s="89"/>
      <c r="N1208" s="90"/>
      <c r="O1208" s="90"/>
      <c r="P1208" s="90"/>
      <c r="Q1208" s="89"/>
    </row>
    <row r="1209" spans="1:17" ht="15.75" customHeight="1" x14ac:dyDescent="0.25">
      <c r="A1209" s="89"/>
      <c r="B1209" s="89"/>
      <c r="C1209" s="89"/>
      <c r="D1209" s="89"/>
      <c r="E1209" s="89"/>
      <c r="F1209" s="89"/>
      <c r="G1209" s="89"/>
      <c r="H1209" s="89"/>
      <c r="I1209" s="89"/>
      <c r="J1209" s="89"/>
      <c r="K1209" s="89"/>
      <c r="L1209" s="89"/>
      <c r="M1209" s="89"/>
      <c r="N1209" s="90"/>
      <c r="O1209" s="90"/>
      <c r="P1209" s="90"/>
      <c r="Q1209" s="89"/>
    </row>
    <row r="1210" spans="1:17" ht="15.75" customHeight="1" x14ac:dyDescent="0.25">
      <c r="A1210" s="89"/>
      <c r="B1210" s="89"/>
      <c r="C1210" s="89"/>
      <c r="D1210" s="89"/>
      <c r="E1210" s="89"/>
      <c r="F1210" s="89"/>
      <c r="G1210" s="89"/>
      <c r="H1210" s="89"/>
      <c r="I1210" s="89"/>
      <c r="J1210" s="89"/>
      <c r="K1210" s="89"/>
      <c r="L1210" s="89"/>
      <c r="M1210" s="89"/>
      <c r="N1210" s="90"/>
      <c r="O1210" s="90"/>
      <c r="P1210" s="90"/>
      <c r="Q1210" s="89"/>
    </row>
    <row r="1211" spans="1:17" ht="15.75" customHeight="1" x14ac:dyDescent="0.25">
      <c r="A1211" s="89"/>
      <c r="B1211" s="89"/>
      <c r="C1211" s="89"/>
      <c r="D1211" s="89"/>
      <c r="E1211" s="89"/>
      <c r="F1211" s="89"/>
      <c r="G1211" s="89"/>
      <c r="H1211" s="89"/>
      <c r="I1211" s="89"/>
      <c r="J1211" s="89"/>
      <c r="K1211" s="89"/>
      <c r="L1211" s="89"/>
      <c r="M1211" s="89"/>
      <c r="N1211" s="90"/>
      <c r="O1211" s="90"/>
      <c r="P1211" s="90"/>
      <c r="Q1211" s="89"/>
    </row>
    <row r="1212" spans="1:17" ht="15.75" customHeight="1" x14ac:dyDescent="0.25">
      <c r="A1212" s="89"/>
      <c r="B1212" s="89"/>
      <c r="C1212" s="89"/>
      <c r="D1212" s="89"/>
      <c r="E1212" s="89"/>
      <c r="F1212" s="89"/>
      <c r="G1212" s="89"/>
      <c r="H1212" s="89"/>
      <c r="I1212" s="89"/>
      <c r="J1212" s="89"/>
      <c r="K1212" s="89"/>
      <c r="L1212" s="89"/>
      <c r="M1212" s="89"/>
      <c r="N1212" s="90"/>
      <c r="O1212" s="90"/>
      <c r="P1212" s="90"/>
      <c r="Q1212" s="89"/>
    </row>
    <row r="1213" spans="1:17" ht="15.75" customHeight="1" x14ac:dyDescent="0.25">
      <c r="A1213" s="89"/>
      <c r="B1213" s="89"/>
      <c r="C1213" s="89"/>
      <c r="D1213" s="89"/>
      <c r="E1213" s="89"/>
      <c r="F1213" s="89"/>
      <c r="G1213" s="89"/>
      <c r="H1213" s="89"/>
      <c r="I1213" s="89"/>
      <c r="J1213" s="89"/>
      <c r="K1213" s="89"/>
      <c r="L1213" s="89"/>
      <c r="M1213" s="89"/>
      <c r="N1213" s="90"/>
      <c r="O1213" s="90"/>
      <c r="P1213" s="90"/>
      <c r="Q1213" s="89"/>
    </row>
    <row r="1214" spans="1:17" ht="15.75" customHeight="1" x14ac:dyDescent="0.25">
      <c r="A1214" s="89"/>
      <c r="B1214" s="89"/>
      <c r="C1214" s="89"/>
      <c r="D1214" s="89"/>
      <c r="E1214" s="89"/>
      <c r="F1214" s="89"/>
      <c r="G1214" s="89"/>
      <c r="H1214" s="89"/>
      <c r="I1214" s="89"/>
      <c r="J1214" s="89"/>
      <c r="K1214" s="89"/>
      <c r="L1214" s="89"/>
      <c r="M1214" s="89"/>
      <c r="N1214" s="90"/>
      <c r="O1214" s="90"/>
      <c r="P1214" s="90"/>
      <c r="Q1214" s="89"/>
    </row>
    <row r="1215" spans="1:17" ht="15.75" customHeight="1" x14ac:dyDescent="0.25">
      <c r="A1215" s="89"/>
      <c r="B1215" s="89"/>
      <c r="C1215" s="89"/>
      <c r="D1215" s="89"/>
      <c r="E1215" s="89"/>
      <c r="F1215" s="89"/>
      <c r="G1215" s="89"/>
      <c r="H1215" s="89"/>
      <c r="I1215" s="89"/>
      <c r="J1215" s="89"/>
      <c r="K1215" s="89"/>
      <c r="L1215" s="89"/>
      <c r="M1215" s="89"/>
      <c r="N1215" s="90"/>
      <c r="O1215" s="90"/>
      <c r="P1215" s="90"/>
      <c r="Q1215" s="89"/>
    </row>
    <row r="1216" spans="1:17" ht="15.75" customHeight="1" x14ac:dyDescent="0.25">
      <c r="A1216" s="89"/>
      <c r="B1216" s="89"/>
      <c r="C1216" s="89"/>
      <c r="D1216" s="89"/>
      <c r="E1216" s="89"/>
      <c r="F1216" s="89"/>
      <c r="G1216" s="89"/>
      <c r="H1216" s="89"/>
      <c r="I1216" s="89"/>
      <c r="J1216" s="89"/>
      <c r="K1216" s="89"/>
      <c r="L1216" s="89"/>
      <c r="M1216" s="89"/>
      <c r="N1216" s="90"/>
      <c r="O1216" s="90"/>
      <c r="P1216" s="90"/>
      <c r="Q1216" s="89"/>
    </row>
    <row r="1217" spans="1:17" ht="15.75" customHeight="1" x14ac:dyDescent="0.25">
      <c r="A1217" s="89"/>
      <c r="B1217" s="89"/>
      <c r="C1217" s="89"/>
      <c r="D1217" s="89"/>
      <c r="E1217" s="89"/>
      <c r="F1217" s="89"/>
      <c r="G1217" s="89"/>
      <c r="H1217" s="89"/>
      <c r="I1217" s="89"/>
      <c r="J1217" s="89"/>
      <c r="K1217" s="89"/>
      <c r="L1217" s="89"/>
      <c r="M1217" s="89"/>
      <c r="N1217" s="90"/>
      <c r="O1217" s="90"/>
      <c r="P1217" s="90"/>
      <c r="Q1217" s="89"/>
    </row>
    <row r="1218" spans="1:17" ht="15.75" customHeight="1" x14ac:dyDescent="0.25">
      <c r="A1218" s="89"/>
      <c r="B1218" s="89"/>
      <c r="C1218" s="89"/>
      <c r="D1218" s="89"/>
      <c r="E1218" s="89"/>
      <c r="F1218" s="89"/>
      <c r="G1218" s="89"/>
      <c r="H1218" s="89"/>
      <c r="I1218" s="89"/>
      <c r="J1218" s="89"/>
      <c r="K1218" s="89"/>
      <c r="L1218" s="89"/>
      <c r="M1218" s="89"/>
      <c r="N1218" s="90"/>
      <c r="O1218" s="90"/>
      <c r="P1218" s="90"/>
      <c r="Q1218" s="89"/>
    </row>
    <row r="1219" spans="1:17" ht="15.75" customHeight="1" x14ac:dyDescent="0.25">
      <c r="A1219" s="89"/>
      <c r="B1219" s="89"/>
      <c r="C1219" s="89"/>
      <c r="D1219" s="89"/>
      <c r="E1219" s="89"/>
      <c r="F1219" s="89"/>
      <c r="G1219" s="89"/>
      <c r="H1219" s="89"/>
      <c r="I1219" s="89"/>
      <c r="J1219" s="89"/>
      <c r="K1219" s="89"/>
      <c r="L1219" s="89"/>
      <c r="M1219" s="89"/>
      <c r="N1219" s="90"/>
      <c r="O1219" s="90"/>
      <c r="P1219" s="90"/>
      <c r="Q1219" s="89"/>
    </row>
    <row r="1220" spans="1:17" ht="15.75" customHeight="1" x14ac:dyDescent="0.25">
      <c r="A1220" s="89"/>
      <c r="B1220" s="89"/>
      <c r="C1220" s="89"/>
      <c r="D1220" s="89"/>
      <c r="E1220" s="89"/>
      <c r="F1220" s="89"/>
      <c r="G1220" s="89"/>
      <c r="H1220" s="89"/>
      <c r="I1220" s="89"/>
      <c r="J1220" s="89"/>
      <c r="K1220" s="89"/>
      <c r="L1220" s="89"/>
      <c r="M1220" s="89"/>
      <c r="N1220" s="90"/>
      <c r="O1220" s="90"/>
      <c r="P1220" s="90"/>
      <c r="Q1220" s="89"/>
    </row>
    <row r="1221" spans="1:17" ht="15.75" customHeight="1" x14ac:dyDescent="0.25">
      <c r="A1221" s="89"/>
      <c r="B1221" s="89"/>
      <c r="C1221" s="89"/>
      <c r="D1221" s="89"/>
      <c r="E1221" s="89"/>
      <c r="F1221" s="89"/>
      <c r="G1221" s="89"/>
      <c r="H1221" s="89"/>
      <c r="I1221" s="89"/>
      <c r="J1221" s="89"/>
      <c r="K1221" s="89"/>
      <c r="L1221" s="89"/>
      <c r="M1221" s="89"/>
      <c r="N1221" s="90"/>
      <c r="O1221" s="90"/>
      <c r="P1221" s="90"/>
      <c r="Q1221" s="89"/>
    </row>
    <row r="1222" spans="1:17" ht="15.75" customHeight="1" x14ac:dyDescent="0.25">
      <c r="A1222" s="89"/>
      <c r="B1222" s="89"/>
      <c r="C1222" s="89"/>
      <c r="D1222" s="89"/>
      <c r="E1222" s="89"/>
      <c r="F1222" s="89"/>
      <c r="G1222" s="89"/>
      <c r="H1222" s="89"/>
      <c r="I1222" s="89"/>
      <c r="J1222" s="89"/>
      <c r="K1222" s="89"/>
      <c r="L1222" s="89"/>
      <c r="M1222" s="89"/>
      <c r="N1222" s="90"/>
      <c r="O1222" s="90"/>
      <c r="P1222" s="90"/>
      <c r="Q1222" s="89"/>
    </row>
    <row r="1223" spans="1:17" ht="15.75" customHeight="1" x14ac:dyDescent="0.25">
      <c r="A1223" s="89"/>
      <c r="B1223" s="89"/>
      <c r="C1223" s="89"/>
      <c r="D1223" s="89"/>
      <c r="E1223" s="89"/>
      <c r="F1223" s="89"/>
      <c r="G1223" s="89"/>
      <c r="H1223" s="89"/>
      <c r="I1223" s="89"/>
      <c r="J1223" s="89"/>
      <c r="K1223" s="89"/>
      <c r="L1223" s="89"/>
      <c r="M1223" s="89"/>
      <c r="N1223" s="90"/>
      <c r="O1223" s="90"/>
      <c r="P1223" s="90"/>
      <c r="Q1223" s="89"/>
    </row>
    <row r="1224" spans="1:17" ht="15.75" customHeight="1" x14ac:dyDescent="0.25">
      <c r="A1224" s="89"/>
      <c r="B1224" s="89"/>
      <c r="C1224" s="89"/>
      <c r="D1224" s="89"/>
      <c r="E1224" s="89"/>
      <c r="F1224" s="89"/>
      <c r="G1224" s="89"/>
      <c r="H1224" s="89"/>
      <c r="I1224" s="89"/>
      <c r="J1224" s="89"/>
      <c r="K1224" s="89"/>
      <c r="L1224" s="89"/>
      <c r="M1224" s="89"/>
      <c r="N1224" s="90"/>
      <c r="O1224" s="90"/>
      <c r="P1224" s="90"/>
      <c r="Q1224" s="89"/>
    </row>
    <row r="1225" spans="1:17" ht="15.75" customHeight="1" x14ac:dyDescent="0.25">
      <c r="A1225" s="89"/>
      <c r="B1225" s="89"/>
      <c r="C1225" s="89"/>
      <c r="D1225" s="89"/>
      <c r="E1225" s="89"/>
      <c r="F1225" s="89"/>
      <c r="G1225" s="89"/>
      <c r="H1225" s="89"/>
      <c r="I1225" s="89"/>
      <c r="J1225" s="89"/>
      <c r="K1225" s="89"/>
      <c r="L1225" s="89"/>
      <c r="M1225" s="89"/>
      <c r="N1225" s="90"/>
      <c r="O1225" s="90"/>
      <c r="P1225" s="90"/>
      <c r="Q1225" s="89"/>
    </row>
    <row r="1226" spans="1:17" ht="15.75" customHeight="1" x14ac:dyDescent="0.25">
      <c r="A1226" s="89"/>
      <c r="B1226" s="89"/>
      <c r="C1226" s="89"/>
      <c r="D1226" s="89"/>
      <c r="E1226" s="89"/>
      <c r="F1226" s="89"/>
      <c r="G1226" s="89"/>
      <c r="H1226" s="89"/>
      <c r="I1226" s="89"/>
      <c r="J1226" s="89"/>
      <c r="K1226" s="89"/>
      <c r="L1226" s="89"/>
      <c r="M1226" s="89"/>
      <c r="N1226" s="90"/>
      <c r="O1226" s="90"/>
      <c r="P1226" s="90"/>
      <c r="Q1226" s="89"/>
    </row>
    <row r="1227" spans="1:17" ht="15.75" customHeight="1" x14ac:dyDescent="0.25">
      <c r="A1227" s="89"/>
      <c r="B1227" s="89"/>
      <c r="C1227" s="89"/>
      <c r="D1227" s="89"/>
      <c r="E1227" s="89"/>
      <c r="F1227" s="89"/>
      <c r="G1227" s="89"/>
      <c r="H1227" s="89"/>
      <c r="I1227" s="89"/>
      <c r="J1227" s="89"/>
      <c r="K1227" s="89"/>
      <c r="L1227" s="89"/>
      <c r="M1227" s="89"/>
      <c r="N1227" s="90"/>
      <c r="O1227" s="90"/>
      <c r="P1227" s="90"/>
      <c r="Q1227" s="89"/>
    </row>
    <row r="1228" spans="1:17" ht="15.75" customHeight="1" x14ac:dyDescent="0.25">
      <c r="A1228" s="89"/>
      <c r="B1228" s="89"/>
      <c r="C1228" s="89"/>
      <c r="D1228" s="89"/>
      <c r="E1228" s="89"/>
      <c r="F1228" s="89"/>
      <c r="G1228" s="89"/>
      <c r="H1228" s="89"/>
      <c r="I1228" s="89"/>
      <c r="J1228" s="89"/>
      <c r="K1228" s="89"/>
      <c r="L1228" s="89"/>
      <c r="M1228" s="89"/>
      <c r="N1228" s="90"/>
      <c r="O1228" s="90"/>
      <c r="P1228" s="90"/>
      <c r="Q1228" s="89"/>
    </row>
    <row r="1229" spans="1:17" ht="15.75" customHeight="1" x14ac:dyDescent="0.25">
      <c r="A1229" s="89"/>
      <c r="B1229" s="89"/>
      <c r="C1229" s="89"/>
      <c r="D1229" s="89"/>
      <c r="E1229" s="89"/>
      <c r="F1229" s="89"/>
      <c r="G1229" s="89"/>
      <c r="H1229" s="89"/>
      <c r="I1229" s="89"/>
      <c r="J1229" s="89"/>
      <c r="K1229" s="89"/>
      <c r="L1229" s="89"/>
      <c r="M1229" s="89"/>
      <c r="N1229" s="90"/>
      <c r="O1229" s="90"/>
      <c r="P1229" s="90"/>
      <c r="Q1229" s="89"/>
    </row>
    <row r="1230" spans="1:17" ht="15.75" customHeight="1" x14ac:dyDescent="0.25">
      <c r="A1230" s="89"/>
      <c r="B1230" s="89"/>
      <c r="C1230" s="89"/>
      <c r="D1230" s="89"/>
      <c r="E1230" s="89"/>
      <c r="F1230" s="89"/>
      <c r="G1230" s="89"/>
      <c r="H1230" s="89"/>
      <c r="I1230" s="89"/>
      <c r="J1230" s="89"/>
      <c r="K1230" s="89"/>
      <c r="L1230" s="89"/>
      <c r="M1230" s="89"/>
      <c r="N1230" s="90"/>
      <c r="O1230" s="90"/>
      <c r="P1230" s="90"/>
      <c r="Q1230" s="89"/>
    </row>
    <row r="1231" spans="1:17" ht="15.75" customHeight="1" x14ac:dyDescent="0.25">
      <c r="A1231" s="89"/>
      <c r="B1231" s="89"/>
      <c r="C1231" s="89"/>
      <c r="D1231" s="89"/>
      <c r="E1231" s="89"/>
      <c r="F1231" s="89"/>
      <c r="G1231" s="89"/>
      <c r="H1231" s="89"/>
      <c r="I1231" s="89"/>
      <c r="J1231" s="89"/>
      <c r="K1231" s="89"/>
      <c r="L1231" s="89"/>
      <c r="M1231" s="89"/>
      <c r="N1231" s="90"/>
      <c r="O1231" s="90"/>
      <c r="P1231" s="90"/>
      <c r="Q1231" s="89"/>
    </row>
    <row r="1232" spans="1:17" ht="15.75" customHeight="1" x14ac:dyDescent="0.25">
      <c r="A1232" s="89"/>
      <c r="B1232" s="89"/>
      <c r="C1232" s="89"/>
      <c r="D1232" s="89"/>
      <c r="E1232" s="89"/>
      <c r="F1232" s="89"/>
      <c r="G1232" s="89"/>
      <c r="H1232" s="89"/>
      <c r="I1232" s="89"/>
      <c r="J1232" s="89"/>
      <c r="K1232" s="89"/>
      <c r="L1232" s="89"/>
      <c r="M1232" s="89"/>
      <c r="N1232" s="90"/>
      <c r="O1232" s="90"/>
      <c r="P1232" s="90"/>
      <c r="Q1232" s="89"/>
    </row>
    <row r="1233" spans="1:17" ht="15.75" customHeight="1" x14ac:dyDescent="0.25">
      <c r="A1233" s="89"/>
      <c r="B1233" s="89"/>
      <c r="C1233" s="89"/>
      <c r="D1233" s="89"/>
      <c r="E1233" s="89"/>
      <c r="F1233" s="89"/>
      <c r="G1233" s="89"/>
      <c r="H1233" s="89"/>
      <c r="I1233" s="89"/>
      <c r="J1233" s="89"/>
      <c r="K1233" s="89"/>
      <c r="L1233" s="89"/>
      <c r="M1233" s="89"/>
      <c r="N1233" s="90"/>
      <c r="O1233" s="90"/>
      <c r="P1233" s="90"/>
      <c r="Q1233" s="89"/>
    </row>
    <row r="1234" spans="1:17" ht="15.75" customHeight="1" x14ac:dyDescent="0.25">
      <c r="A1234" s="89"/>
      <c r="B1234" s="89"/>
      <c r="C1234" s="89"/>
      <c r="D1234" s="89"/>
      <c r="E1234" s="89"/>
      <c r="F1234" s="89"/>
      <c r="G1234" s="89"/>
      <c r="H1234" s="89"/>
      <c r="I1234" s="89"/>
      <c r="J1234" s="89"/>
      <c r="K1234" s="89"/>
      <c r="L1234" s="89"/>
      <c r="M1234" s="89"/>
      <c r="N1234" s="90"/>
      <c r="O1234" s="90"/>
      <c r="P1234" s="90"/>
      <c r="Q1234" s="89"/>
    </row>
    <row r="1235" spans="1:17" ht="15.75" customHeight="1" x14ac:dyDescent="0.25">
      <c r="A1235" s="89"/>
      <c r="B1235" s="89"/>
      <c r="C1235" s="89"/>
      <c r="D1235" s="89"/>
      <c r="E1235" s="89"/>
      <c r="F1235" s="89"/>
      <c r="G1235" s="89"/>
      <c r="H1235" s="89"/>
      <c r="I1235" s="89"/>
      <c r="J1235" s="89"/>
      <c r="K1235" s="89"/>
      <c r="L1235" s="89"/>
      <c r="M1235" s="89"/>
      <c r="N1235" s="90"/>
      <c r="O1235" s="90"/>
      <c r="P1235" s="90"/>
      <c r="Q1235" s="89"/>
    </row>
    <row r="1236" spans="1:17" ht="15.75" customHeight="1" x14ac:dyDescent="0.25">
      <c r="A1236" s="89"/>
      <c r="B1236" s="89"/>
      <c r="C1236" s="89"/>
      <c r="D1236" s="89"/>
      <c r="E1236" s="89"/>
      <c r="F1236" s="89"/>
      <c r="G1236" s="89"/>
      <c r="H1236" s="89"/>
      <c r="I1236" s="89"/>
      <c r="J1236" s="89"/>
      <c r="K1236" s="89"/>
      <c r="L1236" s="89"/>
      <c r="M1236" s="89"/>
      <c r="N1236" s="90"/>
      <c r="O1236" s="90"/>
      <c r="P1236" s="90"/>
      <c r="Q1236" s="89"/>
    </row>
    <row r="1237" spans="1:17" ht="15.75" customHeight="1" x14ac:dyDescent="0.25">
      <c r="A1237" s="89"/>
      <c r="B1237" s="89"/>
      <c r="C1237" s="89"/>
      <c r="D1237" s="89"/>
      <c r="E1237" s="89"/>
      <c r="F1237" s="89"/>
      <c r="G1237" s="89"/>
      <c r="H1237" s="89"/>
      <c r="I1237" s="89"/>
      <c r="J1237" s="89"/>
      <c r="K1237" s="89"/>
      <c r="L1237" s="89"/>
      <c r="M1237" s="89"/>
      <c r="N1237" s="90"/>
      <c r="O1237" s="90"/>
      <c r="P1237" s="90"/>
      <c r="Q1237" s="89"/>
    </row>
    <row r="1238" spans="1:17" ht="15.75" customHeight="1" x14ac:dyDescent="0.25">
      <c r="A1238" s="89"/>
      <c r="B1238" s="89"/>
      <c r="C1238" s="89"/>
      <c r="D1238" s="89"/>
      <c r="E1238" s="89"/>
      <c r="F1238" s="89"/>
      <c r="G1238" s="89"/>
      <c r="H1238" s="89"/>
      <c r="I1238" s="89"/>
      <c r="J1238" s="89"/>
      <c r="K1238" s="89"/>
      <c r="L1238" s="89"/>
      <c r="M1238" s="89"/>
      <c r="N1238" s="90"/>
      <c r="O1238" s="90"/>
      <c r="P1238" s="90"/>
      <c r="Q1238" s="89"/>
    </row>
    <row r="1239" spans="1:17" ht="15.75" customHeight="1" x14ac:dyDescent="0.25">
      <c r="A1239" s="89"/>
      <c r="B1239" s="89"/>
      <c r="C1239" s="89"/>
      <c r="D1239" s="89"/>
      <c r="E1239" s="89"/>
      <c r="F1239" s="89"/>
      <c r="G1239" s="89"/>
      <c r="H1239" s="89"/>
      <c r="I1239" s="89"/>
      <c r="J1239" s="89"/>
      <c r="K1239" s="89"/>
      <c r="L1239" s="89"/>
      <c r="M1239" s="89"/>
      <c r="N1239" s="90"/>
      <c r="O1239" s="90"/>
      <c r="P1239" s="90"/>
      <c r="Q1239" s="89"/>
    </row>
    <row r="1240" spans="1:17" ht="15.75" customHeight="1" x14ac:dyDescent="0.25">
      <c r="A1240" s="89"/>
      <c r="B1240" s="89"/>
      <c r="C1240" s="89"/>
      <c r="D1240" s="89"/>
      <c r="E1240" s="89"/>
      <c r="F1240" s="89"/>
      <c r="G1240" s="89"/>
      <c r="H1240" s="89"/>
      <c r="I1240" s="89"/>
      <c r="J1240" s="89"/>
      <c r="K1240" s="89"/>
      <c r="L1240" s="89"/>
      <c r="M1240" s="89"/>
      <c r="N1240" s="90"/>
      <c r="O1240" s="90"/>
      <c r="P1240" s="90"/>
      <c r="Q1240" s="89"/>
    </row>
    <row r="1241" spans="1:17" ht="15.75" customHeight="1" x14ac:dyDescent="0.25">
      <c r="A1241" s="89"/>
      <c r="B1241" s="89"/>
      <c r="C1241" s="89"/>
      <c r="D1241" s="89"/>
      <c r="E1241" s="89"/>
      <c r="F1241" s="89"/>
      <c r="G1241" s="89"/>
      <c r="H1241" s="89"/>
      <c r="I1241" s="89"/>
      <c r="J1241" s="89"/>
      <c r="K1241" s="89"/>
      <c r="L1241" s="89"/>
      <c r="M1241" s="89"/>
      <c r="N1241" s="90"/>
      <c r="O1241" s="90"/>
      <c r="P1241" s="90"/>
      <c r="Q1241" s="89"/>
    </row>
    <row r="1242" spans="1:17" ht="15.75" customHeight="1" x14ac:dyDescent="0.25">
      <c r="A1242" s="89"/>
      <c r="B1242" s="89"/>
      <c r="C1242" s="89"/>
      <c r="D1242" s="89"/>
      <c r="E1242" s="89"/>
      <c r="F1242" s="89"/>
      <c r="G1242" s="89"/>
      <c r="H1242" s="89"/>
      <c r="I1242" s="89"/>
      <c r="J1242" s="89"/>
      <c r="K1242" s="89"/>
      <c r="L1242" s="89"/>
      <c r="M1242" s="89"/>
      <c r="N1242" s="90"/>
      <c r="O1242" s="90"/>
      <c r="P1242" s="90"/>
      <c r="Q1242" s="89"/>
    </row>
    <row r="1243" spans="1:17" ht="15.75" customHeight="1" x14ac:dyDescent="0.25">
      <c r="A1243" s="89"/>
      <c r="B1243" s="89"/>
      <c r="C1243" s="89"/>
      <c r="D1243" s="89"/>
      <c r="E1243" s="89"/>
      <c r="F1243" s="89"/>
      <c r="G1243" s="89"/>
      <c r="H1243" s="89"/>
      <c r="I1243" s="89"/>
      <c r="J1243" s="89"/>
      <c r="K1243" s="89"/>
      <c r="L1243" s="89"/>
      <c r="M1243" s="89"/>
      <c r="N1243" s="90"/>
      <c r="O1243" s="90"/>
      <c r="P1243" s="90"/>
      <c r="Q1243" s="89"/>
    </row>
    <row r="1244" spans="1:17" ht="15.75" customHeight="1" x14ac:dyDescent="0.25">
      <c r="A1244" s="89"/>
      <c r="B1244" s="89"/>
      <c r="C1244" s="89"/>
      <c r="D1244" s="89"/>
      <c r="E1244" s="89"/>
      <c r="F1244" s="89"/>
      <c r="G1244" s="89"/>
      <c r="H1244" s="89"/>
      <c r="I1244" s="89"/>
      <c r="J1244" s="89"/>
      <c r="K1244" s="89"/>
      <c r="L1244" s="89"/>
      <c r="M1244" s="89"/>
      <c r="N1244" s="90"/>
      <c r="O1244" s="90"/>
      <c r="P1244" s="90"/>
      <c r="Q1244" s="89"/>
    </row>
    <row r="1245" spans="1:17" ht="15.75" customHeight="1" x14ac:dyDescent="0.25">
      <c r="A1245" s="89"/>
      <c r="B1245" s="89"/>
      <c r="C1245" s="89"/>
      <c r="D1245" s="89"/>
      <c r="E1245" s="89"/>
      <c r="F1245" s="89"/>
      <c r="G1245" s="89"/>
      <c r="H1245" s="89"/>
      <c r="I1245" s="89"/>
      <c r="J1245" s="89"/>
      <c r="K1245" s="89"/>
      <c r="L1245" s="89"/>
      <c r="M1245" s="89"/>
      <c r="N1245" s="90"/>
      <c r="O1245" s="90"/>
      <c r="P1245" s="90"/>
      <c r="Q1245" s="89"/>
    </row>
    <row r="1246" spans="1:17" ht="15.75" customHeight="1" x14ac:dyDescent="0.25">
      <c r="A1246" s="89"/>
      <c r="B1246" s="89"/>
      <c r="C1246" s="89"/>
      <c r="D1246" s="89"/>
      <c r="E1246" s="89"/>
      <c r="F1246" s="89"/>
      <c r="G1246" s="89"/>
      <c r="H1246" s="89"/>
      <c r="I1246" s="89"/>
      <c r="J1246" s="89"/>
      <c r="K1246" s="89"/>
      <c r="L1246" s="89"/>
      <c r="M1246" s="89"/>
      <c r="N1246" s="90"/>
      <c r="O1246" s="90"/>
      <c r="P1246" s="90"/>
      <c r="Q1246" s="89"/>
    </row>
    <row r="1247" spans="1:17" ht="15.75" customHeight="1" x14ac:dyDescent="0.25">
      <c r="A1247" s="89"/>
      <c r="B1247" s="89"/>
      <c r="C1247" s="89"/>
      <c r="D1247" s="89"/>
      <c r="E1247" s="89"/>
      <c r="F1247" s="89"/>
      <c r="G1247" s="89"/>
      <c r="H1247" s="89"/>
      <c r="I1247" s="89"/>
      <c r="J1247" s="89"/>
      <c r="K1247" s="89"/>
      <c r="L1247" s="89"/>
      <c r="M1247" s="89"/>
      <c r="N1247" s="90"/>
      <c r="O1247" s="90"/>
      <c r="P1247" s="90"/>
      <c r="Q1247" s="89"/>
    </row>
    <row r="1248" spans="1:17" ht="15.75" customHeight="1" x14ac:dyDescent="0.25">
      <c r="A1248" s="89"/>
      <c r="B1248" s="89"/>
      <c r="C1248" s="89"/>
      <c r="D1248" s="89"/>
      <c r="E1248" s="89"/>
      <c r="F1248" s="89"/>
      <c r="G1248" s="89"/>
      <c r="H1248" s="89"/>
      <c r="I1248" s="89"/>
      <c r="J1248" s="89"/>
      <c r="K1248" s="89"/>
      <c r="L1248" s="89"/>
      <c r="M1248" s="89"/>
      <c r="N1248" s="90"/>
      <c r="O1248" s="90"/>
      <c r="P1248" s="90"/>
      <c r="Q1248" s="89"/>
    </row>
    <row r="1249" spans="1:17" ht="15.75" customHeight="1" x14ac:dyDescent="0.25">
      <c r="A1249" s="89"/>
      <c r="B1249" s="89"/>
      <c r="C1249" s="89"/>
      <c r="D1249" s="89"/>
      <c r="E1249" s="89"/>
      <c r="F1249" s="89"/>
      <c r="G1249" s="89"/>
      <c r="H1249" s="89"/>
      <c r="I1249" s="89"/>
      <c r="J1249" s="89"/>
      <c r="K1249" s="89"/>
      <c r="L1249" s="89"/>
      <c r="M1249" s="89"/>
      <c r="N1249" s="90"/>
      <c r="O1249" s="90"/>
      <c r="P1249" s="90"/>
      <c r="Q1249" s="89"/>
    </row>
    <row r="1250" spans="1:17" ht="15.75" customHeight="1" x14ac:dyDescent="0.25">
      <c r="A1250" s="89"/>
      <c r="B1250" s="89"/>
      <c r="C1250" s="89"/>
      <c r="D1250" s="89"/>
      <c r="E1250" s="89"/>
      <c r="F1250" s="89"/>
      <c r="G1250" s="89"/>
      <c r="H1250" s="89"/>
      <c r="I1250" s="89"/>
      <c r="J1250" s="89"/>
      <c r="K1250" s="89"/>
      <c r="L1250" s="89"/>
      <c r="M1250" s="89"/>
      <c r="N1250" s="90"/>
      <c r="O1250" s="90"/>
      <c r="P1250" s="90"/>
      <c r="Q1250" s="89"/>
    </row>
    <row r="1251" spans="1:17" ht="15.75" customHeight="1" x14ac:dyDescent="0.25">
      <c r="A1251" s="89"/>
      <c r="B1251" s="89"/>
      <c r="C1251" s="89"/>
      <c r="D1251" s="89"/>
      <c r="E1251" s="89"/>
      <c r="F1251" s="89"/>
      <c r="G1251" s="89"/>
      <c r="H1251" s="89"/>
      <c r="I1251" s="89"/>
      <c r="J1251" s="89"/>
      <c r="K1251" s="89"/>
      <c r="L1251" s="89"/>
      <c r="M1251" s="89"/>
      <c r="N1251" s="90"/>
      <c r="O1251" s="90"/>
      <c r="P1251" s="90"/>
      <c r="Q1251" s="89"/>
    </row>
    <row r="1252" spans="1:17" ht="15.75" customHeight="1" x14ac:dyDescent="0.25">
      <c r="A1252" s="89"/>
      <c r="B1252" s="89"/>
      <c r="C1252" s="89"/>
      <c r="D1252" s="89"/>
      <c r="E1252" s="89"/>
      <c r="F1252" s="89"/>
      <c r="G1252" s="89"/>
      <c r="H1252" s="89"/>
      <c r="I1252" s="89"/>
      <c r="J1252" s="89"/>
      <c r="K1252" s="89"/>
      <c r="L1252" s="89"/>
      <c r="M1252" s="89"/>
      <c r="N1252" s="90"/>
      <c r="O1252" s="90"/>
      <c r="P1252" s="90"/>
      <c r="Q1252" s="89"/>
    </row>
    <row r="1253" spans="1:17" ht="15.75" customHeight="1" x14ac:dyDescent="0.25">
      <c r="A1253" s="89"/>
      <c r="B1253" s="89"/>
      <c r="C1253" s="89"/>
      <c r="D1253" s="89"/>
      <c r="E1253" s="89"/>
      <c r="F1253" s="89"/>
      <c r="G1253" s="89"/>
      <c r="H1253" s="89"/>
      <c r="I1253" s="89"/>
      <c r="J1253" s="89"/>
      <c r="K1253" s="89"/>
      <c r="L1253" s="89"/>
      <c r="M1253" s="89"/>
      <c r="N1253" s="90"/>
      <c r="O1253" s="90"/>
      <c r="P1253" s="90"/>
      <c r="Q1253" s="89"/>
    </row>
    <row r="1254" spans="1:17" ht="15.75" customHeight="1" x14ac:dyDescent="0.25">
      <c r="A1254" s="89"/>
      <c r="B1254" s="89"/>
      <c r="C1254" s="89"/>
      <c r="D1254" s="89"/>
      <c r="E1254" s="89"/>
      <c r="F1254" s="89"/>
      <c r="G1254" s="89"/>
      <c r="H1254" s="89"/>
      <c r="I1254" s="89"/>
      <c r="J1254" s="89"/>
      <c r="K1254" s="89"/>
      <c r="L1254" s="89"/>
      <c r="M1254" s="89"/>
      <c r="N1254" s="90"/>
      <c r="O1254" s="90"/>
      <c r="P1254" s="90"/>
      <c r="Q1254" s="89"/>
    </row>
    <row r="1255" spans="1:17" ht="15.75" customHeight="1" x14ac:dyDescent="0.25">
      <c r="A1255" s="89"/>
      <c r="B1255" s="89"/>
      <c r="C1255" s="89"/>
      <c r="D1255" s="89"/>
      <c r="E1255" s="89"/>
      <c r="F1255" s="89"/>
      <c r="G1255" s="89"/>
      <c r="H1255" s="89"/>
      <c r="I1255" s="89"/>
      <c r="J1255" s="89"/>
      <c r="K1255" s="89"/>
      <c r="L1255" s="89"/>
      <c r="M1255" s="89"/>
      <c r="N1255" s="90"/>
      <c r="O1255" s="90"/>
      <c r="P1255" s="90"/>
      <c r="Q1255" s="89"/>
    </row>
    <row r="1256" spans="1:17" ht="15.75" customHeight="1" x14ac:dyDescent="0.25">
      <c r="A1256" s="89"/>
      <c r="B1256" s="89"/>
      <c r="C1256" s="89"/>
      <c r="D1256" s="89"/>
      <c r="E1256" s="89"/>
      <c r="F1256" s="89"/>
      <c r="G1256" s="89"/>
      <c r="H1256" s="89"/>
      <c r="I1256" s="89"/>
      <c r="J1256" s="89"/>
      <c r="K1256" s="89"/>
      <c r="L1256" s="89"/>
      <c r="M1256" s="89"/>
      <c r="N1256" s="90"/>
      <c r="O1256" s="90"/>
      <c r="P1256" s="90"/>
      <c r="Q1256" s="89"/>
    </row>
    <row r="1257" spans="1:17" ht="15.75" customHeight="1" x14ac:dyDescent="0.25">
      <c r="A1257" s="89"/>
      <c r="B1257" s="89"/>
      <c r="C1257" s="89"/>
      <c r="D1257" s="89"/>
      <c r="E1257" s="89"/>
      <c r="F1257" s="89"/>
      <c r="G1257" s="89"/>
      <c r="H1257" s="89"/>
      <c r="I1257" s="89"/>
      <c r="J1257" s="89"/>
      <c r="K1257" s="89"/>
      <c r="L1257" s="89"/>
      <c r="M1257" s="89"/>
      <c r="N1257" s="90"/>
      <c r="O1257" s="90"/>
      <c r="P1257" s="90"/>
      <c r="Q1257" s="89"/>
    </row>
    <row r="1258" spans="1:17" ht="15.75" customHeight="1" x14ac:dyDescent="0.25">
      <c r="A1258" s="89"/>
      <c r="B1258" s="89"/>
      <c r="C1258" s="89"/>
      <c r="D1258" s="89"/>
      <c r="E1258" s="89"/>
      <c r="F1258" s="89"/>
      <c r="G1258" s="89"/>
      <c r="H1258" s="89"/>
      <c r="I1258" s="89"/>
      <c r="J1258" s="89"/>
      <c r="K1258" s="89"/>
      <c r="L1258" s="89"/>
      <c r="M1258" s="89"/>
      <c r="N1258" s="90"/>
      <c r="O1258" s="90"/>
      <c r="P1258" s="90"/>
      <c r="Q1258" s="89"/>
    </row>
    <row r="1259" spans="1:17" ht="15.75" customHeight="1" x14ac:dyDescent="0.25">
      <c r="A1259" s="89"/>
      <c r="B1259" s="89"/>
      <c r="C1259" s="89"/>
      <c r="D1259" s="89"/>
      <c r="E1259" s="89"/>
      <c r="F1259" s="89"/>
      <c r="G1259" s="89"/>
      <c r="H1259" s="89"/>
      <c r="I1259" s="89"/>
      <c r="J1259" s="89"/>
      <c r="K1259" s="89"/>
      <c r="L1259" s="89"/>
      <c r="M1259" s="89"/>
      <c r="N1259" s="90"/>
      <c r="O1259" s="90"/>
      <c r="P1259" s="90"/>
      <c r="Q1259" s="89"/>
    </row>
    <row r="1260" spans="1:17" ht="15.75" customHeight="1" x14ac:dyDescent="0.25">
      <c r="A1260" s="89"/>
      <c r="B1260" s="89"/>
      <c r="C1260" s="89"/>
      <c r="D1260" s="89"/>
      <c r="E1260" s="89"/>
      <c r="F1260" s="89"/>
      <c r="G1260" s="89"/>
      <c r="H1260" s="89"/>
      <c r="I1260" s="89"/>
      <c r="J1260" s="89"/>
      <c r="K1260" s="89"/>
      <c r="L1260" s="89"/>
      <c r="M1260" s="89"/>
      <c r="N1260" s="90"/>
      <c r="O1260" s="90"/>
      <c r="P1260" s="90"/>
      <c r="Q1260" s="89"/>
    </row>
    <row r="1261" spans="1:17" ht="15.75" customHeight="1" x14ac:dyDescent="0.25">
      <c r="A1261" s="89"/>
      <c r="B1261" s="89"/>
      <c r="C1261" s="89"/>
      <c r="D1261" s="89"/>
      <c r="E1261" s="89"/>
      <c r="F1261" s="89"/>
      <c r="G1261" s="89"/>
      <c r="H1261" s="89"/>
      <c r="I1261" s="89"/>
      <c r="J1261" s="89"/>
      <c r="K1261" s="89"/>
      <c r="L1261" s="89"/>
      <c r="M1261" s="89"/>
      <c r="N1261" s="90"/>
      <c r="O1261" s="90"/>
      <c r="P1261" s="90"/>
      <c r="Q1261" s="89"/>
    </row>
    <row r="1262" spans="1:17" ht="15.75" customHeight="1" x14ac:dyDescent="0.25">
      <c r="A1262" s="89"/>
      <c r="B1262" s="89"/>
      <c r="C1262" s="89"/>
      <c r="D1262" s="89"/>
      <c r="E1262" s="89"/>
      <c r="F1262" s="89"/>
      <c r="G1262" s="89"/>
      <c r="H1262" s="89"/>
      <c r="I1262" s="89"/>
      <c r="J1262" s="89"/>
      <c r="K1262" s="89"/>
      <c r="L1262" s="89"/>
      <c r="M1262" s="89"/>
      <c r="N1262" s="90"/>
      <c r="O1262" s="90"/>
      <c r="P1262" s="90"/>
      <c r="Q1262" s="89"/>
    </row>
    <row r="1263" spans="1:17" ht="15.75" customHeight="1" x14ac:dyDescent="0.25">
      <c r="A1263" s="89"/>
      <c r="B1263" s="89"/>
      <c r="C1263" s="89"/>
      <c r="D1263" s="89"/>
      <c r="E1263" s="89"/>
      <c r="F1263" s="89"/>
      <c r="G1263" s="89"/>
      <c r="H1263" s="89"/>
      <c r="I1263" s="89"/>
      <c r="J1263" s="89"/>
      <c r="K1263" s="89"/>
      <c r="L1263" s="89"/>
      <c r="M1263" s="89"/>
      <c r="N1263" s="90"/>
      <c r="O1263" s="90"/>
      <c r="P1263" s="90"/>
      <c r="Q1263" s="89"/>
    </row>
    <row r="1264" spans="1:17" ht="15.75" customHeight="1" x14ac:dyDescent="0.25">
      <c r="A1264" s="89"/>
      <c r="B1264" s="89"/>
      <c r="C1264" s="89"/>
      <c r="D1264" s="89"/>
      <c r="E1264" s="89"/>
      <c r="F1264" s="89"/>
      <c r="G1264" s="89"/>
      <c r="H1264" s="89"/>
      <c r="I1264" s="89"/>
      <c r="J1264" s="89"/>
      <c r="K1264" s="89"/>
      <c r="L1264" s="89"/>
      <c r="M1264" s="89"/>
      <c r="N1264" s="90"/>
      <c r="O1264" s="90"/>
      <c r="P1264" s="90"/>
      <c r="Q1264" s="89"/>
    </row>
    <row r="1265" spans="1:17" ht="15.75" customHeight="1" x14ac:dyDescent="0.25">
      <c r="A1265" s="89"/>
      <c r="B1265" s="89"/>
      <c r="C1265" s="89"/>
      <c r="D1265" s="89"/>
      <c r="E1265" s="89"/>
      <c r="F1265" s="89"/>
      <c r="G1265" s="89"/>
      <c r="H1265" s="89"/>
      <c r="I1265" s="89"/>
      <c r="J1265" s="89"/>
      <c r="K1265" s="89"/>
      <c r="L1265" s="89"/>
      <c r="M1265" s="89"/>
      <c r="N1265" s="90"/>
      <c r="O1265" s="90"/>
      <c r="P1265" s="90"/>
      <c r="Q1265" s="89"/>
    </row>
    <row r="1266" spans="1:17" ht="15.75" customHeight="1" x14ac:dyDescent="0.25">
      <c r="A1266" s="89"/>
      <c r="B1266" s="89"/>
      <c r="C1266" s="89"/>
      <c r="D1266" s="89"/>
      <c r="E1266" s="89"/>
      <c r="F1266" s="89"/>
      <c r="G1266" s="89"/>
      <c r="H1266" s="89"/>
      <c r="I1266" s="89"/>
      <c r="J1266" s="89"/>
      <c r="K1266" s="89"/>
      <c r="L1266" s="89"/>
      <c r="M1266" s="89"/>
      <c r="N1266" s="90"/>
      <c r="O1266" s="90"/>
      <c r="P1266" s="90"/>
      <c r="Q1266" s="89"/>
    </row>
    <row r="1267" spans="1:17" ht="15.75" customHeight="1" x14ac:dyDescent="0.25">
      <c r="A1267" s="89"/>
      <c r="B1267" s="89"/>
      <c r="C1267" s="89"/>
      <c r="D1267" s="89"/>
      <c r="E1267" s="89"/>
      <c r="F1267" s="89"/>
      <c r="G1267" s="89"/>
      <c r="H1267" s="89"/>
      <c r="I1267" s="89"/>
      <c r="J1267" s="89"/>
      <c r="K1267" s="89"/>
      <c r="L1267" s="89"/>
      <c r="M1267" s="89"/>
      <c r="N1267" s="90"/>
      <c r="O1267" s="90"/>
      <c r="P1267" s="90"/>
      <c r="Q1267" s="89"/>
    </row>
    <row r="1268" spans="1:17" ht="15.75" customHeight="1" x14ac:dyDescent="0.25">
      <c r="A1268" s="89"/>
      <c r="B1268" s="89"/>
      <c r="C1268" s="89"/>
      <c r="D1268" s="89"/>
      <c r="E1268" s="89"/>
      <c r="F1268" s="89"/>
      <c r="G1268" s="89"/>
      <c r="H1268" s="89"/>
      <c r="I1268" s="89"/>
      <c r="J1268" s="89"/>
      <c r="K1268" s="89"/>
      <c r="L1268" s="89"/>
      <c r="M1268" s="89"/>
      <c r="N1268" s="90"/>
      <c r="O1268" s="90"/>
      <c r="P1268" s="90"/>
      <c r="Q1268" s="89"/>
    </row>
    <row r="1269" spans="1:17" ht="15.75" customHeight="1" x14ac:dyDescent="0.25">
      <c r="A1269" s="89"/>
      <c r="B1269" s="89"/>
      <c r="C1269" s="89"/>
      <c r="D1269" s="89"/>
      <c r="E1269" s="89"/>
      <c r="F1269" s="89"/>
      <c r="G1269" s="89"/>
      <c r="H1269" s="89"/>
      <c r="I1269" s="89"/>
      <c r="J1269" s="89"/>
      <c r="K1269" s="89"/>
      <c r="L1269" s="89"/>
      <c r="M1269" s="89"/>
      <c r="N1269" s="90"/>
      <c r="O1269" s="90"/>
      <c r="P1269" s="90"/>
      <c r="Q1269" s="89"/>
    </row>
    <row r="1270" spans="1:17" ht="15.75" customHeight="1" x14ac:dyDescent="0.25">
      <c r="A1270" s="89"/>
      <c r="B1270" s="89"/>
      <c r="C1270" s="89"/>
      <c r="D1270" s="89"/>
      <c r="E1270" s="89"/>
      <c r="F1270" s="89"/>
      <c r="G1270" s="89"/>
      <c r="H1270" s="89"/>
      <c r="I1270" s="89"/>
      <c r="J1270" s="89"/>
      <c r="K1270" s="89"/>
      <c r="L1270" s="89"/>
      <c r="M1270" s="89"/>
      <c r="N1270" s="90"/>
      <c r="O1270" s="90"/>
      <c r="P1270" s="90"/>
      <c r="Q1270" s="89"/>
    </row>
    <row r="1271" spans="1:17" ht="15.75" customHeight="1" x14ac:dyDescent="0.25">
      <c r="A1271" s="89"/>
      <c r="B1271" s="89"/>
      <c r="C1271" s="89"/>
      <c r="D1271" s="89"/>
      <c r="E1271" s="89"/>
      <c r="F1271" s="89"/>
      <c r="G1271" s="89"/>
      <c r="H1271" s="89"/>
      <c r="I1271" s="89"/>
      <c r="J1271" s="89"/>
      <c r="K1271" s="89"/>
      <c r="L1271" s="89"/>
      <c r="M1271" s="89"/>
      <c r="N1271" s="90"/>
      <c r="O1271" s="90"/>
      <c r="P1271" s="90"/>
      <c r="Q1271" s="89"/>
    </row>
    <row r="1272" spans="1:17" ht="15.75" customHeight="1" x14ac:dyDescent="0.25">
      <c r="A1272" s="89"/>
      <c r="B1272" s="89"/>
      <c r="C1272" s="89"/>
      <c r="D1272" s="89"/>
      <c r="E1272" s="89"/>
      <c r="F1272" s="89"/>
      <c r="G1272" s="89"/>
      <c r="H1272" s="89"/>
      <c r="I1272" s="89"/>
      <c r="J1272" s="89"/>
      <c r="K1272" s="89"/>
      <c r="L1272" s="89"/>
      <c r="M1272" s="89"/>
      <c r="N1272" s="90"/>
      <c r="O1272" s="90"/>
      <c r="P1272" s="90"/>
      <c r="Q1272" s="89"/>
    </row>
    <row r="1273" spans="1:17" ht="15.75" customHeight="1" x14ac:dyDescent="0.25">
      <c r="A1273" s="89"/>
      <c r="B1273" s="89"/>
      <c r="C1273" s="89"/>
      <c r="D1273" s="89"/>
      <c r="E1273" s="89"/>
      <c r="F1273" s="89"/>
      <c r="G1273" s="89"/>
      <c r="H1273" s="89"/>
      <c r="I1273" s="89"/>
      <c r="J1273" s="89"/>
      <c r="K1273" s="89"/>
      <c r="L1273" s="89"/>
      <c r="M1273" s="89"/>
      <c r="N1273" s="90"/>
      <c r="O1273" s="90"/>
      <c r="P1273" s="90"/>
      <c r="Q1273" s="89"/>
    </row>
    <row r="1274" spans="1:17" ht="15.75" customHeight="1" x14ac:dyDescent="0.25">
      <c r="A1274" s="89"/>
      <c r="B1274" s="89"/>
      <c r="C1274" s="89"/>
      <c r="D1274" s="89"/>
      <c r="E1274" s="89"/>
      <c r="F1274" s="89"/>
      <c r="G1274" s="89"/>
      <c r="H1274" s="89"/>
      <c r="I1274" s="89"/>
      <c r="J1274" s="89"/>
      <c r="K1274" s="89"/>
      <c r="L1274" s="89"/>
      <c r="M1274" s="89"/>
      <c r="N1274" s="90"/>
      <c r="O1274" s="90"/>
      <c r="P1274" s="90"/>
      <c r="Q1274" s="89"/>
    </row>
    <row r="1275" spans="1:17" ht="15.75" customHeight="1" x14ac:dyDescent="0.25">
      <c r="A1275" s="89"/>
      <c r="B1275" s="89"/>
      <c r="C1275" s="89"/>
      <c r="D1275" s="89"/>
      <c r="E1275" s="89"/>
      <c r="F1275" s="89"/>
      <c r="G1275" s="89"/>
      <c r="H1275" s="89"/>
      <c r="I1275" s="89"/>
      <c r="J1275" s="89"/>
      <c r="K1275" s="89"/>
      <c r="L1275" s="89"/>
      <c r="M1275" s="89"/>
      <c r="N1275" s="90"/>
      <c r="O1275" s="90"/>
      <c r="P1275" s="90"/>
      <c r="Q1275" s="89"/>
    </row>
    <row r="1276" spans="1:17" ht="15.75" customHeight="1" x14ac:dyDescent="0.25">
      <c r="A1276" s="89"/>
      <c r="B1276" s="89"/>
      <c r="C1276" s="89"/>
      <c r="D1276" s="89"/>
      <c r="E1276" s="89"/>
      <c r="F1276" s="89"/>
      <c r="G1276" s="89"/>
      <c r="H1276" s="89"/>
      <c r="I1276" s="89"/>
      <c r="J1276" s="89"/>
      <c r="K1276" s="89"/>
      <c r="L1276" s="89"/>
      <c r="M1276" s="89"/>
      <c r="N1276" s="90"/>
      <c r="O1276" s="90"/>
      <c r="P1276" s="90"/>
      <c r="Q1276" s="89"/>
    </row>
    <row r="1277" spans="1:17" ht="15.75" customHeight="1" x14ac:dyDescent="0.25">
      <c r="A1277" s="89"/>
      <c r="B1277" s="89"/>
      <c r="C1277" s="89"/>
      <c r="D1277" s="89"/>
      <c r="E1277" s="89"/>
      <c r="F1277" s="89"/>
      <c r="G1277" s="89"/>
      <c r="H1277" s="89"/>
      <c r="I1277" s="89"/>
      <c r="J1277" s="89"/>
      <c r="K1277" s="89"/>
      <c r="L1277" s="89"/>
      <c r="M1277" s="89"/>
      <c r="N1277" s="90"/>
      <c r="O1277" s="90"/>
      <c r="P1277" s="90"/>
      <c r="Q1277" s="89"/>
    </row>
    <row r="1278" spans="1:17" ht="15.75" customHeight="1" x14ac:dyDescent="0.25">
      <c r="A1278" s="89"/>
      <c r="B1278" s="89"/>
      <c r="C1278" s="89"/>
      <c r="D1278" s="89"/>
      <c r="E1278" s="89"/>
      <c r="F1278" s="89"/>
      <c r="G1278" s="89"/>
      <c r="H1278" s="89"/>
      <c r="I1278" s="89"/>
      <c r="J1278" s="89"/>
      <c r="K1278" s="89"/>
      <c r="L1278" s="89"/>
      <c r="M1278" s="89"/>
      <c r="N1278" s="90"/>
      <c r="O1278" s="90"/>
      <c r="P1278" s="90"/>
      <c r="Q1278" s="89"/>
    </row>
    <row r="1279" spans="1:17" ht="15.75" customHeight="1" x14ac:dyDescent="0.25">
      <c r="A1279" s="89"/>
      <c r="B1279" s="89"/>
      <c r="C1279" s="89"/>
      <c r="D1279" s="89"/>
      <c r="E1279" s="89"/>
      <c r="F1279" s="89"/>
      <c r="G1279" s="89"/>
      <c r="H1279" s="89"/>
      <c r="I1279" s="89"/>
      <c r="J1279" s="89"/>
      <c r="K1279" s="89"/>
      <c r="L1279" s="89"/>
      <c r="M1279" s="89"/>
      <c r="N1279" s="90"/>
      <c r="O1279" s="90"/>
      <c r="P1279" s="90"/>
      <c r="Q1279" s="89"/>
    </row>
    <row r="1280" spans="1:17" ht="15.75" customHeight="1" x14ac:dyDescent="0.25">
      <c r="A1280" s="89"/>
      <c r="B1280" s="89"/>
      <c r="C1280" s="89"/>
      <c r="D1280" s="89"/>
      <c r="E1280" s="89"/>
      <c r="F1280" s="89"/>
      <c r="G1280" s="89"/>
      <c r="H1280" s="89"/>
      <c r="I1280" s="89"/>
      <c r="J1280" s="89"/>
      <c r="K1280" s="89"/>
      <c r="L1280" s="89"/>
      <c r="M1280" s="89"/>
      <c r="N1280" s="90"/>
      <c r="O1280" s="90"/>
      <c r="P1280" s="90"/>
      <c r="Q1280" s="89"/>
    </row>
    <row r="1281" spans="1:17" ht="15.75" customHeight="1" x14ac:dyDescent="0.25">
      <c r="A1281" s="89"/>
      <c r="B1281" s="89"/>
      <c r="C1281" s="89"/>
      <c r="D1281" s="89"/>
      <c r="E1281" s="89"/>
      <c r="F1281" s="89"/>
      <c r="G1281" s="89"/>
      <c r="H1281" s="89"/>
      <c r="I1281" s="89"/>
      <c r="J1281" s="89"/>
      <c r="K1281" s="89"/>
      <c r="L1281" s="89"/>
      <c r="M1281" s="89"/>
      <c r="N1281" s="90"/>
      <c r="O1281" s="90"/>
      <c r="P1281" s="90"/>
      <c r="Q1281" s="89"/>
    </row>
    <row r="1282" spans="1:17" ht="15.75" customHeight="1" x14ac:dyDescent="0.25">
      <c r="A1282" s="89"/>
      <c r="B1282" s="89"/>
      <c r="C1282" s="89"/>
      <c r="D1282" s="89"/>
      <c r="E1282" s="89"/>
      <c r="F1282" s="89"/>
      <c r="G1282" s="89"/>
      <c r="H1282" s="89"/>
      <c r="I1282" s="89"/>
      <c r="J1282" s="89"/>
      <c r="K1282" s="89"/>
      <c r="L1282" s="89"/>
      <c r="M1282" s="89"/>
      <c r="N1282" s="90"/>
      <c r="O1282" s="90"/>
      <c r="P1282" s="90"/>
      <c r="Q1282" s="89"/>
    </row>
    <row r="1283" spans="1:17" ht="15.75" customHeight="1" x14ac:dyDescent="0.25">
      <c r="A1283" s="89"/>
      <c r="B1283" s="89"/>
      <c r="C1283" s="89"/>
      <c r="D1283" s="89"/>
      <c r="E1283" s="89"/>
      <c r="F1283" s="89"/>
      <c r="G1283" s="89"/>
      <c r="H1283" s="89"/>
      <c r="I1283" s="89"/>
      <c r="J1283" s="89"/>
      <c r="K1283" s="89"/>
      <c r="L1283" s="89"/>
      <c r="M1283" s="89"/>
      <c r="N1283" s="90"/>
      <c r="O1283" s="90"/>
      <c r="P1283" s="90"/>
      <c r="Q1283" s="89"/>
    </row>
    <row r="1284" spans="1:17" ht="15.75" customHeight="1" x14ac:dyDescent="0.25">
      <c r="A1284" s="89"/>
      <c r="B1284" s="89"/>
      <c r="C1284" s="89"/>
      <c r="D1284" s="89"/>
      <c r="E1284" s="89"/>
      <c r="F1284" s="89"/>
      <c r="G1284" s="89"/>
      <c r="H1284" s="89"/>
      <c r="I1284" s="89"/>
      <c r="J1284" s="89"/>
      <c r="K1284" s="89"/>
      <c r="L1284" s="89"/>
      <c r="M1284" s="89"/>
      <c r="N1284" s="90"/>
      <c r="O1284" s="90"/>
      <c r="P1284" s="90"/>
      <c r="Q1284" s="89"/>
    </row>
    <row r="1285" spans="1:17" ht="15.75" customHeight="1" x14ac:dyDescent="0.25">
      <c r="A1285" s="89"/>
      <c r="B1285" s="89"/>
      <c r="C1285" s="89"/>
      <c r="D1285" s="89"/>
      <c r="E1285" s="89"/>
      <c r="F1285" s="89"/>
      <c r="G1285" s="89"/>
      <c r="H1285" s="89"/>
      <c r="I1285" s="89"/>
      <c r="J1285" s="89"/>
      <c r="K1285" s="89"/>
      <c r="L1285" s="89"/>
      <c r="M1285" s="89"/>
      <c r="N1285" s="90"/>
      <c r="O1285" s="90"/>
      <c r="P1285" s="90"/>
      <c r="Q1285" s="89"/>
    </row>
    <row r="1286" spans="1:17" ht="15.75" customHeight="1" x14ac:dyDescent="0.25">
      <c r="A1286" s="89"/>
      <c r="B1286" s="89"/>
      <c r="C1286" s="89"/>
      <c r="D1286" s="89"/>
      <c r="E1286" s="89"/>
      <c r="F1286" s="89"/>
      <c r="G1286" s="89"/>
      <c r="H1286" s="89"/>
      <c r="I1286" s="89"/>
      <c r="J1286" s="89"/>
      <c r="K1286" s="89"/>
      <c r="L1286" s="89"/>
      <c r="M1286" s="89"/>
      <c r="N1286" s="90"/>
      <c r="O1286" s="90"/>
      <c r="P1286" s="90"/>
      <c r="Q1286" s="89"/>
    </row>
    <row r="1287" spans="1:17" ht="15.75" customHeight="1" x14ac:dyDescent="0.25">
      <c r="A1287" s="89"/>
      <c r="B1287" s="89"/>
      <c r="C1287" s="89"/>
      <c r="D1287" s="89"/>
      <c r="E1287" s="89"/>
      <c r="F1287" s="89"/>
      <c r="G1287" s="89"/>
      <c r="H1287" s="89"/>
      <c r="I1287" s="89"/>
      <c r="J1287" s="89"/>
      <c r="K1287" s="89"/>
      <c r="L1287" s="89"/>
      <c r="M1287" s="89"/>
      <c r="N1287" s="90"/>
      <c r="O1287" s="90"/>
      <c r="P1287" s="90"/>
      <c r="Q1287" s="89"/>
    </row>
    <row r="1288" spans="1:17" ht="15.75" customHeight="1" x14ac:dyDescent="0.25">
      <c r="A1288" s="89"/>
      <c r="B1288" s="89"/>
      <c r="C1288" s="89"/>
      <c r="D1288" s="89"/>
      <c r="E1288" s="89"/>
      <c r="F1288" s="89"/>
      <c r="G1288" s="89"/>
      <c r="H1288" s="89"/>
      <c r="I1288" s="89"/>
      <c r="J1288" s="89"/>
      <c r="K1288" s="89"/>
      <c r="L1288" s="89"/>
      <c r="M1288" s="89"/>
      <c r="N1288" s="90"/>
      <c r="O1288" s="90"/>
      <c r="P1288" s="90"/>
      <c r="Q1288" s="89"/>
    </row>
    <row r="1289" spans="1:17" ht="15.75" customHeight="1" x14ac:dyDescent="0.25">
      <c r="A1289" s="89"/>
      <c r="B1289" s="89"/>
      <c r="C1289" s="89"/>
      <c r="D1289" s="89"/>
      <c r="E1289" s="89"/>
      <c r="F1289" s="89"/>
      <c r="G1289" s="89"/>
      <c r="H1289" s="89"/>
      <c r="I1289" s="89"/>
      <c r="J1289" s="89"/>
      <c r="K1289" s="89"/>
      <c r="L1289" s="89"/>
      <c r="M1289" s="89"/>
      <c r="N1289" s="90"/>
      <c r="O1289" s="90"/>
      <c r="P1289" s="90"/>
      <c r="Q1289" s="89"/>
    </row>
    <row r="1290" spans="1:17" ht="15.75" customHeight="1" x14ac:dyDescent="0.25">
      <c r="A1290" s="89"/>
      <c r="B1290" s="89"/>
      <c r="C1290" s="89"/>
      <c r="D1290" s="89"/>
      <c r="E1290" s="89"/>
      <c r="F1290" s="89"/>
      <c r="G1290" s="89"/>
      <c r="H1290" s="89"/>
      <c r="I1290" s="89"/>
      <c r="J1290" s="89"/>
      <c r="K1290" s="89"/>
      <c r="L1290" s="89"/>
      <c r="M1290" s="89"/>
      <c r="N1290" s="90"/>
      <c r="O1290" s="90"/>
      <c r="P1290" s="90"/>
      <c r="Q1290" s="89"/>
    </row>
    <row r="1291" spans="1:17" ht="15.75" customHeight="1" x14ac:dyDescent="0.25">
      <c r="A1291" s="89"/>
      <c r="B1291" s="89"/>
      <c r="C1291" s="89"/>
      <c r="D1291" s="89"/>
      <c r="E1291" s="89"/>
      <c r="F1291" s="89"/>
      <c r="G1291" s="89"/>
      <c r="H1291" s="89"/>
      <c r="I1291" s="89"/>
      <c r="J1291" s="89"/>
      <c r="K1291" s="89"/>
      <c r="L1291" s="89"/>
      <c r="M1291" s="89"/>
      <c r="N1291" s="90"/>
      <c r="O1291" s="90"/>
      <c r="P1291" s="90"/>
      <c r="Q1291" s="89"/>
    </row>
    <row r="1292" spans="1:17" ht="15.75" customHeight="1" x14ac:dyDescent="0.25">
      <c r="A1292" s="89"/>
      <c r="B1292" s="89"/>
      <c r="C1292" s="89"/>
      <c r="D1292" s="89"/>
      <c r="E1292" s="89"/>
      <c r="F1292" s="89"/>
      <c r="G1292" s="89"/>
      <c r="H1292" s="89"/>
      <c r="I1292" s="89"/>
      <c r="J1292" s="89"/>
      <c r="K1292" s="89"/>
      <c r="L1292" s="89"/>
      <c r="M1292" s="89"/>
      <c r="N1292" s="90"/>
      <c r="O1292" s="90"/>
      <c r="P1292" s="90"/>
      <c r="Q1292" s="89"/>
    </row>
    <row r="1293" spans="1:17" ht="15.75" customHeight="1" x14ac:dyDescent="0.25">
      <c r="A1293" s="89"/>
      <c r="B1293" s="89"/>
      <c r="C1293" s="89"/>
      <c r="D1293" s="89"/>
      <c r="E1293" s="89"/>
      <c r="F1293" s="89"/>
      <c r="G1293" s="89"/>
      <c r="H1293" s="89"/>
      <c r="I1293" s="89"/>
      <c r="J1293" s="89"/>
      <c r="K1293" s="89"/>
      <c r="L1293" s="89"/>
      <c r="M1293" s="89"/>
      <c r="N1293" s="90"/>
      <c r="O1293" s="90"/>
      <c r="P1293" s="90"/>
      <c r="Q1293" s="89"/>
    </row>
    <row r="1294" spans="1:17" ht="15.75" customHeight="1" x14ac:dyDescent="0.25">
      <c r="A1294" s="89"/>
      <c r="B1294" s="89"/>
      <c r="C1294" s="89"/>
      <c r="D1294" s="89"/>
      <c r="E1294" s="89"/>
      <c r="F1294" s="89"/>
      <c r="G1294" s="89"/>
      <c r="H1294" s="89"/>
      <c r="I1294" s="89"/>
      <c r="J1294" s="89"/>
      <c r="K1294" s="89"/>
      <c r="L1294" s="89"/>
      <c r="M1294" s="89"/>
      <c r="N1294" s="90"/>
      <c r="O1294" s="90"/>
      <c r="P1294" s="90"/>
      <c r="Q1294" s="89"/>
    </row>
    <row r="1295" spans="1:17" ht="15.75" customHeight="1" x14ac:dyDescent="0.25">
      <c r="A1295" s="89"/>
      <c r="B1295" s="89"/>
      <c r="C1295" s="89"/>
      <c r="D1295" s="89"/>
      <c r="E1295" s="89"/>
      <c r="F1295" s="89"/>
      <c r="G1295" s="89"/>
      <c r="H1295" s="89"/>
      <c r="I1295" s="89"/>
      <c r="J1295" s="89"/>
      <c r="K1295" s="89"/>
      <c r="L1295" s="89"/>
      <c r="M1295" s="89"/>
      <c r="N1295" s="90"/>
      <c r="O1295" s="90"/>
      <c r="P1295" s="90"/>
      <c r="Q1295" s="89"/>
    </row>
    <row r="1296" spans="1:17" ht="15.75" customHeight="1" x14ac:dyDescent="0.25">
      <c r="A1296" s="89"/>
      <c r="B1296" s="89"/>
      <c r="C1296" s="89"/>
      <c r="D1296" s="89"/>
      <c r="E1296" s="89"/>
      <c r="F1296" s="89"/>
      <c r="G1296" s="89"/>
      <c r="H1296" s="89"/>
      <c r="I1296" s="89"/>
      <c r="J1296" s="89"/>
      <c r="K1296" s="89"/>
      <c r="L1296" s="89"/>
      <c r="M1296" s="89"/>
      <c r="N1296" s="90"/>
      <c r="O1296" s="90"/>
      <c r="P1296" s="90"/>
      <c r="Q1296" s="89"/>
    </row>
    <row r="1297" spans="1:17" ht="15.75" customHeight="1" x14ac:dyDescent="0.25">
      <c r="A1297" s="89"/>
      <c r="B1297" s="89"/>
      <c r="C1297" s="89"/>
      <c r="D1297" s="89"/>
      <c r="E1297" s="89"/>
      <c r="F1297" s="89"/>
      <c r="G1297" s="89"/>
      <c r="H1297" s="89"/>
      <c r="I1297" s="89"/>
      <c r="J1297" s="89"/>
      <c r="K1297" s="89"/>
      <c r="L1297" s="89"/>
      <c r="M1297" s="89"/>
      <c r="N1297" s="90"/>
      <c r="O1297" s="90"/>
      <c r="P1297" s="90"/>
      <c r="Q1297" s="89"/>
    </row>
    <row r="1298" spans="1:17" ht="15.75" customHeight="1" x14ac:dyDescent="0.25">
      <c r="A1298" s="89"/>
      <c r="B1298" s="89"/>
      <c r="C1298" s="89"/>
      <c r="D1298" s="89"/>
      <c r="E1298" s="89"/>
      <c r="F1298" s="89"/>
      <c r="G1298" s="89"/>
      <c r="H1298" s="89"/>
      <c r="I1298" s="89"/>
      <c r="J1298" s="89"/>
      <c r="K1298" s="89"/>
      <c r="L1298" s="89"/>
      <c r="M1298" s="89"/>
      <c r="N1298" s="90"/>
      <c r="O1298" s="90"/>
      <c r="P1298" s="90"/>
      <c r="Q1298" s="89"/>
    </row>
  </sheetData>
  <mergeCells count="98">
    <mergeCell ref="D102:D104"/>
    <mergeCell ref="E102:E104"/>
    <mergeCell ref="F102:K102"/>
    <mergeCell ref="L102:L104"/>
    <mergeCell ref="E278:E280"/>
    <mergeCell ref="L278:L280"/>
    <mergeCell ref="A106:Q106"/>
    <mergeCell ref="B107:E107"/>
    <mergeCell ref="A109:Q109"/>
    <mergeCell ref="A132:Q132"/>
    <mergeCell ref="A4:A6"/>
    <mergeCell ref="B4:B6"/>
    <mergeCell ref="C4:C6"/>
    <mergeCell ref="D4:D6"/>
    <mergeCell ref="L4:L6"/>
    <mergeCell ref="Q102:Q104"/>
    <mergeCell ref="F103:F104"/>
    <mergeCell ref="E4:E6"/>
    <mergeCell ref="F4:K4"/>
    <mergeCell ref="F5:F6"/>
    <mergeCell ref="G6:K6"/>
    <mergeCell ref="M4:M6"/>
    <mergeCell ref="N4:P4"/>
    <mergeCell ref="Q4:Q6"/>
    <mergeCell ref="N5:N6"/>
    <mergeCell ref="O5:O6"/>
    <mergeCell ref="P5:P6"/>
    <mergeCell ref="A101:Q101"/>
    <mergeCell ref="A102:A104"/>
    <mergeCell ref="B102:B104"/>
    <mergeCell ref="C102:C104"/>
    <mergeCell ref="M102:M104"/>
    <mergeCell ref="N102:P102"/>
    <mergeCell ref="A368:Q368"/>
    <mergeCell ref="A372:Q372"/>
    <mergeCell ref="A246:Q246"/>
    <mergeCell ref="A277:Q277"/>
    <mergeCell ref="A281:Q281"/>
    <mergeCell ref="B282:E282"/>
    <mergeCell ref="F278:F279"/>
    <mergeCell ref="N278:N279"/>
    <mergeCell ref="O278:O279"/>
    <mergeCell ref="P278:P279"/>
    <mergeCell ref="G279:K279"/>
    <mergeCell ref="A278:A280"/>
    <mergeCell ref="B278:B280"/>
    <mergeCell ref="C278:C280"/>
    <mergeCell ref="D278:D280"/>
    <mergeCell ref="A300:Q300"/>
    <mergeCell ref="A348:Q348"/>
    <mergeCell ref="P365:P366"/>
    <mergeCell ref="G366:K366"/>
    <mergeCell ref="A362:Q362"/>
    <mergeCell ref="M278:M280"/>
    <mergeCell ref="Q278:Q280"/>
    <mergeCell ref="A364:A366"/>
    <mergeCell ref="B364:B366"/>
    <mergeCell ref="C364:C366"/>
    <mergeCell ref="D364:D366"/>
    <mergeCell ref="E364:E366"/>
    <mergeCell ref="F364:K364"/>
    <mergeCell ref="L364:L366"/>
    <mergeCell ref="M364:M366"/>
    <mergeCell ref="A285:Q285"/>
    <mergeCell ref="F454:K454"/>
    <mergeCell ref="L454:L456"/>
    <mergeCell ref="M454:M456"/>
    <mergeCell ref="N454:P454"/>
    <mergeCell ref="Q454:Q456"/>
    <mergeCell ref="F455:F456"/>
    <mergeCell ref="N455:N456"/>
    <mergeCell ref="N364:P364"/>
    <mergeCell ref="Q364:Q366"/>
    <mergeCell ref="F365:F366"/>
    <mergeCell ref="N365:N366"/>
    <mergeCell ref="O365:O366"/>
    <mergeCell ref="B369:L369"/>
    <mergeCell ref="B459:E459"/>
    <mergeCell ref="A462:Q462"/>
    <mergeCell ref="A514:Q514"/>
    <mergeCell ref="A636:Q636"/>
    <mergeCell ref="A512:M512"/>
    <mergeCell ref="N103:N104"/>
    <mergeCell ref="O103:O104"/>
    <mergeCell ref="P103:P104"/>
    <mergeCell ref="G104:K104"/>
    <mergeCell ref="A458:Q458"/>
    <mergeCell ref="O455:O456"/>
    <mergeCell ref="P455:P456"/>
    <mergeCell ref="G456:K456"/>
    <mergeCell ref="A453:Q453"/>
    <mergeCell ref="A402:Q402"/>
    <mergeCell ref="A444:Q444"/>
    <mergeCell ref="A454:A456"/>
    <mergeCell ref="B454:B456"/>
    <mergeCell ref="C454:C456"/>
    <mergeCell ref="D454:D456"/>
    <mergeCell ref="E454:E456"/>
  </mergeCells>
  <hyperlinks>
    <hyperlink ref="M357" r:id="rId1"/>
  </hyperlinks>
  <pageMargins left="0.5" right="0.4" top="0.5" bottom="0.5" header="0" footer="0"/>
  <pageSetup paperSize="256" scale="75" orientation="landscape" r:id="rId2"/>
  <rowBreaks count="4" manualBreakCount="4">
    <brk id="99" max="16383" man="1"/>
    <brk id="275" max="16383" man="1"/>
    <brk id="360" max="16383" man="1"/>
    <brk id="451" max="16383" man="1"/>
  </rowBreaks>
  <colBreaks count="1" manualBreakCount="1">
    <brk id="17" max="1048575"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513"/>
  <sheetViews>
    <sheetView topLeftCell="A14" zoomScale="80" zoomScaleNormal="80" workbookViewId="0">
      <selection activeCell="A5" sqref="A5:XFD16"/>
    </sheetView>
  </sheetViews>
  <sheetFormatPr defaultRowHeight="15" x14ac:dyDescent="0.25"/>
  <cols>
    <col min="1" max="2" width="6.25" style="617" customWidth="1"/>
    <col min="3" max="3" width="13.75" style="617" customWidth="1"/>
    <col min="4" max="4" width="20.625" style="617" customWidth="1"/>
    <col min="5" max="5" width="10.625" style="617" customWidth="1"/>
    <col min="6" max="6" width="8.625" style="617" customWidth="1"/>
    <col min="7" max="7" width="3.125" style="617" customWidth="1"/>
    <col min="8" max="10" width="3" style="617" customWidth="1"/>
    <col min="11" max="11" width="3.375" style="617" customWidth="1"/>
    <col min="12" max="12" width="15" style="617" customWidth="1"/>
    <col min="13" max="13" width="11.125" style="617" customWidth="1"/>
    <col min="14" max="14" width="11.625" style="617" customWidth="1"/>
    <col min="15" max="15" width="12.75" style="617" customWidth="1"/>
    <col min="16" max="16" width="10.625" style="617" customWidth="1"/>
    <col min="17" max="17" width="11" style="617" customWidth="1"/>
    <col min="18" max="18" width="14.5" style="617" customWidth="1"/>
    <col min="19" max="19" width="13.375" style="617" customWidth="1"/>
    <col min="20" max="16384" width="9" style="617"/>
  </cols>
  <sheetData>
    <row r="3" spans="1:17" ht="21" x14ac:dyDescent="0.25">
      <c r="A3" s="870" t="s">
        <v>2597</v>
      </c>
      <c r="B3" s="870"/>
      <c r="C3" s="870"/>
      <c r="D3" s="870"/>
      <c r="E3" s="870"/>
      <c r="F3" s="870"/>
      <c r="G3" s="870"/>
      <c r="H3" s="870"/>
      <c r="I3" s="870"/>
      <c r="J3" s="870"/>
      <c r="K3" s="870"/>
      <c r="L3" s="870"/>
      <c r="M3" s="870"/>
      <c r="N3" s="870"/>
      <c r="O3" s="870"/>
      <c r="P3" s="870"/>
      <c r="Q3" s="870"/>
    </row>
    <row r="4" spans="1:17" ht="21" x14ac:dyDescent="0.25">
      <c r="A4" s="871"/>
      <c r="B4" s="871"/>
      <c r="C4" s="871"/>
      <c r="D4" s="871"/>
      <c r="E4" s="871"/>
      <c r="F4" s="871"/>
      <c r="G4" s="871"/>
      <c r="H4" s="871"/>
      <c r="I4" s="871"/>
      <c r="J4" s="871"/>
      <c r="K4" s="871"/>
      <c r="L4" s="871"/>
      <c r="M4" s="871"/>
      <c r="N4" s="871"/>
      <c r="O4" s="871"/>
      <c r="P4" s="871"/>
      <c r="Q4" s="871"/>
    </row>
    <row r="5" spans="1:17" x14ac:dyDescent="0.25">
      <c r="A5" s="618" t="s">
        <v>2598</v>
      </c>
      <c r="B5" s="618"/>
      <c r="C5" s="618" t="s">
        <v>2599</v>
      </c>
      <c r="D5" s="618" t="s">
        <v>2600</v>
      </c>
      <c r="E5" s="618" t="s">
        <v>2601</v>
      </c>
      <c r="F5" s="867" t="s">
        <v>2483</v>
      </c>
      <c r="G5" s="867"/>
      <c r="H5" s="867"/>
      <c r="I5" s="867"/>
      <c r="J5" s="867"/>
      <c r="K5" s="867"/>
      <c r="L5" s="618" t="s">
        <v>2602</v>
      </c>
      <c r="M5" s="618" t="s">
        <v>2603</v>
      </c>
      <c r="N5" s="867" t="s">
        <v>2604</v>
      </c>
      <c r="O5" s="867"/>
      <c r="P5" s="867"/>
      <c r="Q5" s="618" t="s">
        <v>2605</v>
      </c>
    </row>
    <row r="6" spans="1:17" x14ac:dyDescent="0.25">
      <c r="A6" s="619"/>
      <c r="B6" s="619"/>
      <c r="C6" s="619"/>
      <c r="D6" s="619"/>
      <c r="E6" s="619"/>
      <c r="F6" s="620" t="s">
        <v>2606</v>
      </c>
      <c r="G6" s="620" t="s">
        <v>11</v>
      </c>
      <c r="H6" s="620" t="s">
        <v>12</v>
      </c>
      <c r="I6" s="620" t="s">
        <v>13</v>
      </c>
      <c r="J6" s="620" t="s">
        <v>14</v>
      </c>
      <c r="K6" s="620" t="s">
        <v>15</v>
      </c>
      <c r="L6" s="621"/>
      <c r="M6" s="621"/>
      <c r="N6" s="620" t="s">
        <v>2488</v>
      </c>
      <c r="O6" s="620" t="s">
        <v>2607</v>
      </c>
      <c r="P6" s="620" t="s">
        <v>2608</v>
      </c>
      <c r="Q6" s="621"/>
    </row>
    <row r="7" spans="1:17" x14ac:dyDescent="0.25">
      <c r="A7" s="622">
        <v>1</v>
      </c>
      <c r="B7" s="622"/>
      <c r="C7" s="622">
        <v>2</v>
      </c>
      <c r="D7" s="622">
        <v>3</v>
      </c>
      <c r="E7" s="622">
        <v>4</v>
      </c>
      <c r="F7" s="622">
        <v>5</v>
      </c>
      <c r="G7" s="622">
        <v>6</v>
      </c>
      <c r="H7" s="622">
        <v>7</v>
      </c>
      <c r="I7" s="622">
        <v>8</v>
      </c>
      <c r="J7" s="622">
        <v>9</v>
      </c>
      <c r="K7" s="622">
        <v>10</v>
      </c>
      <c r="L7" s="622">
        <v>11</v>
      </c>
      <c r="M7" s="622">
        <v>12</v>
      </c>
      <c r="N7" s="622">
        <v>13</v>
      </c>
      <c r="O7" s="622">
        <v>14</v>
      </c>
      <c r="P7" s="622">
        <v>15</v>
      </c>
      <c r="Q7" s="622">
        <v>16</v>
      </c>
    </row>
    <row r="8" spans="1:17" x14ac:dyDescent="0.25">
      <c r="A8" s="623" t="s">
        <v>2609</v>
      </c>
      <c r="B8" s="624"/>
      <c r="C8" s="625"/>
      <c r="D8" s="625"/>
    </row>
    <row r="9" spans="1:17" ht="75" x14ac:dyDescent="0.3">
      <c r="A9" s="626">
        <v>1</v>
      </c>
      <c r="B9" s="627"/>
      <c r="C9" s="628" t="s">
        <v>2610</v>
      </c>
      <c r="D9" s="629" t="s">
        <v>2611</v>
      </c>
      <c r="E9" s="630"/>
      <c r="F9" s="630"/>
      <c r="G9" s="630"/>
      <c r="H9" s="630"/>
      <c r="I9" s="630"/>
      <c r="J9" s="630"/>
      <c r="K9" s="630"/>
      <c r="L9" s="631" t="s">
        <v>2612</v>
      </c>
      <c r="M9" s="632" t="s">
        <v>2613</v>
      </c>
      <c r="N9" s="633"/>
      <c r="O9" s="633"/>
      <c r="P9" s="634"/>
      <c r="Q9" s="634"/>
    </row>
    <row r="10" spans="1:17" ht="18.75" x14ac:dyDescent="0.3">
      <c r="A10" s="626"/>
      <c r="B10" s="627"/>
      <c r="C10" s="628"/>
      <c r="D10" s="629"/>
      <c r="E10" s="630"/>
      <c r="F10" s="630"/>
      <c r="G10" s="630"/>
      <c r="H10" s="630"/>
      <c r="I10" s="630"/>
      <c r="J10" s="630"/>
      <c r="K10" s="630"/>
      <c r="L10" s="631" t="s">
        <v>595</v>
      </c>
      <c r="M10" s="632" t="s">
        <v>2614</v>
      </c>
      <c r="N10" s="633"/>
      <c r="O10" s="633"/>
      <c r="P10" s="634"/>
      <c r="Q10" s="634"/>
    </row>
    <row r="11" spans="1:17" ht="75" x14ac:dyDescent="0.3">
      <c r="A11" s="626">
        <v>2</v>
      </c>
      <c r="B11" s="627"/>
      <c r="C11" s="628" t="s">
        <v>2615</v>
      </c>
      <c r="D11" s="635" t="s">
        <v>2616</v>
      </c>
      <c r="E11" s="630"/>
      <c r="F11" s="630"/>
      <c r="G11" s="630"/>
      <c r="H11" s="630"/>
      <c r="I11" s="630"/>
      <c r="J11" s="630"/>
      <c r="K11" s="630"/>
      <c r="L11" s="631" t="s">
        <v>148</v>
      </c>
      <c r="M11" s="632" t="s">
        <v>2617</v>
      </c>
      <c r="N11" s="633"/>
      <c r="O11" s="633"/>
      <c r="P11" s="634"/>
      <c r="Q11" s="636"/>
    </row>
    <row r="12" spans="1:17" ht="93.75" x14ac:dyDescent="0.3">
      <c r="A12" s="637">
        <v>3</v>
      </c>
      <c r="B12" s="638"/>
      <c r="C12" s="639" t="s">
        <v>2618</v>
      </c>
      <c r="D12" s="640" t="s">
        <v>2619</v>
      </c>
      <c r="E12" s="630"/>
      <c r="F12" s="630"/>
      <c r="G12" s="630"/>
      <c r="H12" s="630"/>
      <c r="I12" s="630"/>
      <c r="J12" s="630"/>
      <c r="K12" s="630"/>
      <c r="L12" s="631" t="s">
        <v>2620</v>
      </c>
      <c r="M12" s="632" t="s">
        <v>2621</v>
      </c>
      <c r="N12" s="633"/>
      <c r="O12" s="633"/>
      <c r="P12" s="641"/>
      <c r="Q12" s="636"/>
    </row>
    <row r="13" spans="1:17" ht="93.75" x14ac:dyDescent="0.3">
      <c r="A13" s="637">
        <v>4</v>
      </c>
      <c r="B13" s="638"/>
      <c r="C13" s="628" t="s">
        <v>2622</v>
      </c>
      <c r="D13" s="635" t="s">
        <v>2623</v>
      </c>
      <c r="E13" s="630"/>
      <c r="F13" s="630"/>
      <c r="G13" s="630"/>
      <c r="H13" s="630"/>
      <c r="I13" s="630"/>
      <c r="J13" s="630"/>
      <c r="K13" s="630"/>
      <c r="L13" s="631" t="s">
        <v>2624</v>
      </c>
      <c r="M13" s="632" t="s">
        <v>2625</v>
      </c>
      <c r="N13" s="633"/>
      <c r="O13" s="633"/>
      <c r="P13" s="641"/>
      <c r="Q13" s="636"/>
    </row>
    <row r="14" spans="1:17" ht="93.75" x14ac:dyDescent="0.25">
      <c r="A14" s="637">
        <v>5</v>
      </c>
      <c r="B14" s="637"/>
      <c r="C14" s="642" t="s">
        <v>2626</v>
      </c>
      <c r="D14" s="642" t="s">
        <v>2627</v>
      </c>
      <c r="E14" s="630"/>
      <c r="F14" s="630"/>
      <c r="G14" s="630"/>
      <c r="H14" s="630"/>
      <c r="I14" s="630"/>
      <c r="J14" s="630"/>
      <c r="K14" s="630"/>
      <c r="L14" s="631" t="s">
        <v>2628</v>
      </c>
      <c r="M14" s="632" t="s">
        <v>1602</v>
      </c>
      <c r="N14" s="633"/>
      <c r="O14" s="633"/>
      <c r="P14" s="641"/>
      <c r="Q14" s="636"/>
    </row>
    <row r="15" spans="1:17" ht="75" x14ac:dyDescent="0.3">
      <c r="A15" s="626">
        <v>6</v>
      </c>
      <c r="B15" s="627"/>
      <c r="C15" s="629"/>
      <c r="D15" s="635" t="s">
        <v>2629</v>
      </c>
      <c r="E15" s="630"/>
      <c r="F15" s="630"/>
      <c r="G15" s="630"/>
      <c r="H15" s="630"/>
      <c r="I15" s="630"/>
      <c r="J15" s="630"/>
      <c r="K15" s="630"/>
      <c r="L15" s="634"/>
      <c r="M15" s="632" t="s">
        <v>2630</v>
      </c>
      <c r="N15" s="633"/>
      <c r="O15" s="633"/>
      <c r="P15" s="641"/>
      <c r="Q15" s="636"/>
    </row>
    <row r="16" spans="1:17" ht="93.75" x14ac:dyDescent="0.3">
      <c r="A16" s="626"/>
      <c r="B16" s="627"/>
      <c r="C16" s="629"/>
      <c r="D16" s="629" t="s">
        <v>2631</v>
      </c>
      <c r="E16" s="630"/>
      <c r="F16" s="630"/>
      <c r="G16" s="630"/>
      <c r="H16" s="630"/>
      <c r="I16" s="630"/>
      <c r="J16" s="630"/>
      <c r="K16" s="630"/>
      <c r="L16" s="634"/>
      <c r="M16" s="634" t="s">
        <v>2632</v>
      </c>
      <c r="N16" s="633"/>
      <c r="O16" s="633"/>
      <c r="P16" s="641"/>
      <c r="Q16" s="636"/>
    </row>
    <row r="19" spans="1:17" ht="21" x14ac:dyDescent="0.25">
      <c r="A19" s="643" t="s">
        <v>2633</v>
      </c>
      <c r="B19" s="643"/>
    </row>
    <row r="20" spans="1:17" x14ac:dyDescent="0.25">
      <c r="A20" s="618" t="s">
        <v>2598</v>
      </c>
      <c r="B20" s="618"/>
      <c r="C20" s="618" t="s">
        <v>2599</v>
      </c>
      <c r="D20" s="618" t="s">
        <v>2600</v>
      </c>
      <c r="E20" s="618" t="s">
        <v>2601</v>
      </c>
      <c r="F20" s="867" t="s">
        <v>2483</v>
      </c>
      <c r="G20" s="867"/>
      <c r="H20" s="867"/>
      <c r="I20" s="867"/>
      <c r="J20" s="867"/>
      <c r="K20" s="867"/>
      <c r="L20" s="618" t="s">
        <v>2602</v>
      </c>
      <c r="M20" s="618" t="s">
        <v>2603</v>
      </c>
      <c r="N20" s="867" t="s">
        <v>2604</v>
      </c>
      <c r="O20" s="867"/>
      <c r="P20" s="867"/>
      <c r="Q20" s="618" t="s">
        <v>2605</v>
      </c>
    </row>
    <row r="21" spans="1:17" x14ac:dyDescent="0.25">
      <c r="A21" s="619"/>
      <c r="B21" s="619"/>
      <c r="C21" s="619"/>
      <c r="D21" s="619"/>
      <c r="E21" s="619"/>
      <c r="F21" s="620" t="s">
        <v>2606</v>
      </c>
      <c r="G21" s="620" t="s">
        <v>11</v>
      </c>
      <c r="H21" s="620" t="s">
        <v>12</v>
      </c>
      <c r="I21" s="620" t="s">
        <v>13</v>
      </c>
      <c r="J21" s="620" t="s">
        <v>14</v>
      </c>
      <c r="K21" s="620" t="s">
        <v>15</v>
      </c>
      <c r="L21" s="621"/>
      <c r="M21" s="621"/>
      <c r="N21" s="620" t="s">
        <v>2488</v>
      </c>
      <c r="O21" s="620" t="s">
        <v>2607</v>
      </c>
      <c r="P21" s="620" t="s">
        <v>2608</v>
      </c>
      <c r="Q21" s="621"/>
    </row>
    <row r="22" spans="1:17" x14ac:dyDescent="0.25">
      <c r="A22" s="622">
        <v>1</v>
      </c>
      <c r="B22" s="622"/>
      <c r="C22" s="622">
        <v>2</v>
      </c>
      <c r="D22" s="622">
        <v>3</v>
      </c>
      <c r="E22" s="622">
        <v>4</v>
      </c>
      <c r="F22" s="622">
        <v>5</v>
      </c>
      <c r="G22" s="622">
        <v>6</v>
      </c>
      <c r="H22" s="622">
        <v>7</v>
      </c>
      <c r="I22" s="622">
        <v>8</v>
      </c>
      <c r="J22" s="622">
        <v>9</v>
      </c>
      <c r="K22" s="622">
        <v>10</v>
      </c>
      <c r="L22" s="622">
        <v>11</v>
      </c>
      <c r="M22" s="622">
        <v>12</v>
      </c>
      <c r="N22" s="622">
        <v>13</v>
      </c>
      <c r="O22" s="622">
        <v>14</v>
      </c>
      <c r="P22" s="622">
        <v>15</v>
      </c>
      <c r="Q22" s="622">
        <v>16</v>
      </c>
    </row>
    <row r="23" spans="1:17" x14ac:dyDescent="0.25">
      <c r="A23" s="623" t="s">
        <v>2634</v>
      </c>
      <c r="B23" s="624"/>
      <c r="C23" s="624"/>
      <c r="D23" s="624"/>
    </row>
    <row r="24" spans="1:17" ht="28.5" x14ac:dyDescent="0.25">
      <c r="A24" s="626">
        <v>1</v>
      </c>
      <c r="B24" s="626">
        <v>25.04</v>
      </c>
      <c r="C24" s="632" t="s">
        <v>2635</v>
      </c>
      <c r="D24" s="632" t="s">
        <v>2636</v>
      </c>
      <c r="E24" s="630"/>
      <c r="F24" s="630"/>
      <c r="G24" s="630"/>
      <c r="H24" s="630"/>
      <c r="I24" s="630"/>
      <c r="J24" s="630"/>
      <c r="K24" s="630"/>
      <c r="L24" s="634" t="s">
        <v>2637</v>
      </c>
      <c r="M24" s="644" t="s">
        <v>239</v>
      </c>
      <c r="N24" s="633"/>
      <c r="O24" s="633">
        <v>4500000</v>
      </c>
      <c r="P24" s="634"/>
      <c r="Q24" s="634" t="s">
        <v>2638</v>
      </c>
    </row>
    <row r="25" spans="1:17" x14ac:dyDescent="0.25">
      <c r="A25" s="626"/>
      <c r="B25" s="626">
        <v>13.16</v>
      </c>
      <c r="C25" s="632"/>
      <c r="D25" s="632" t="s">
        <v>2639</v>
      </c>
      <c r="E25" s="630"/>
      <c r="F25" s="630"/>
      <c r="G25" s="630"/>
      <c r="H25" s="630"/>
      <c r="I25" s="630"/>
      <c r="J25" s="630"/>
      <c r="K25" s="630"/>
      <c r="L25" s="634" t="s">
        <v>2637</v>
      </c>
      <c r="M25" s="644" t="s">
        <v>239</v>
      </c>
      <c r="N25" s="633"/>
      <c r="O25" s="633">
        <v>4500000</v>
      </c>
      <c r="P25" s="634"/>
      <c r="Q25" s="634" t="s">
        <v>2638</v>
      </c>
    </row>
    <row r="26" spans="1:17" ht="28.5" x14ac:dyDescent="0.25">
      <c r="A26" s="626"/>
      <c r="B26" s="626">
        <v>25.23</v>
      </c>
      <c r="C26" s="632"/>
      <c r="D26" s="632" t="s">
        <v>2640</v>
      </c>
      <c r="E26" s="630"/>
      <c r="F26" s="630"/>
      <c r="G26" s="630"/>
      <c r="H26" s="630"/>
      <c r="I26" s="630"/>
      <c r="J26" s="630"/>
      <c r="K26" s="630"/>
      <c r="L26" s="634" t="s">
        <v>2637</v>
      </c>
      <c r="M26" s="644" t="s">
        <v>2641</v>
      </c>
      <c r="N26" s="633"/>
      <c r="O26" s="633">
        <v>4250000</v>
      </c>
      <c r="P26" s="634"/>
      <c r="Q26" s="626" t="s">
        <v>1073</v>
      </c>
    </row>
    <row r="27" spans="1:17" x14ac:dyDescent="0.25">
      <c r="A27" s="637"/>
      <c r="B27" s="645">
        <v>26.13</v>
      </c>
      <c r="C27" s="632"/>
      <c r="D27" s="632" t="s">
        <v>2642</v>
      </c>
      <c r="E27" s="630"/>
      <c r="F27" s="630"/>
      <c r="G27" s="630"/>
      <c r="H27" s="630"/>
      <c r="I27" s="630"/>
      <c r="J27" s="630"/>
      <c r="K27" s="630"/>
      <c r="L27" s="634" t="s">
        <v>2643</v>
      </c>
      <c r="M27" s="644" t="s">
        <v>2644</v>
      </c>
      <c r="N27" s="633">
        <f>69*200000</f>
        <v>13800000</v>
      </c>
      <c r="O27" s="633"/>
      <c r="P27" s="641"/>
      <c r="Q27" s="646"/>
    </row>
    <row r="28" spans="1:17" x14ac:dyDescent="0.25">
      <c r="A28" s="637">
        <v>3</v>
      </c>
      <c r="B28" s="637">
        <v>2.0299999999999998</v>
      </c>
      <c r="C28" s="632" t="s">
        <v>2645</v>
      </c>
      <c r="D28" s="632" t="s">
        <v>2646</v>
      </c>
      <c r="E28" s="630"/>
      <c r="F28" s="630"/>
      <c r="G28" s="630"/>
      <c r="H28" s="630"/>
      <c r="I28" s="630"/>
      <c r="J28" s="630"/>
      <c r="K28" s="630"/>
      <c r="L28" s="634" t="s">
        <v>2647</v>
      </c>
      <c r="M28" s="644" t="s">
        <v>2648</v>
      </c>
      <c r="N28" s="633"/>
      <c r="O28" s="633">
        <v>13200000</v>
      </c>
      <c r="P28" s="641"/>
      <c r="Q28" s="626" t="s">
        <v>200</v>
      </c>
    </row>
    <row r="29" spans="1:17" x14ac:dyDescent="0.25">
      <c r="A29" s="637"/>
      <c r="B29" s="637">
        <v>2.0299999999999998</v>
      </c>
      <c r="C29" s="632"/>
      <c r="D29" s="632" t="s">
        <v>2649</v>
      </c>
      <c r="E29" s="630"/>
      <c r="F29" s="630"/>
      <c r="G29" s="630"/>
      <c r="H29" s="630"/>
      <c r="I29" s="630"/>
      <c r="J29" s="630"/>
      <c r="K29" s="630"/>
      <c r="L29" s="634" t="s">
        <v>2650</v>
      </c>
      <c r="M29" s="644" t="s">
        <v>569</v>
      </c>
      <c r="N29" s="633">
        <v>15000000</v>
      </c>
      <c r="O29" s="633"/>
      <c r="P29" s="641"/>
      <c r="Q29" s="626"/>
    </row>
    <row r="30" spans="1:17" ht="28.5" x14ac:dyDescent="0.25">
      <c r="A30" s="637"/>
      <c r="B30" s="637">
        <v>2.0099999999999998</v>
      </c>
      <c r="C30" s="632"/>
      <c r="D30" s="632" t="s">
        <v>2651</v>
      </c>
      <c r="E30" s="630"/>
      <c r="F30" s="630"/>
      <c r="G30" s="630"/>
      <c r="H30" s="630"/>
      <c r="I30" s="630"/>
      <c r="J30" s="630"/>
      <c r="K30" s="630"/>
      <c r="L30" s="634" t="s">
        <v>2643</v>
      </c>
      <c r="M30" s="644" t="s">
        <v>377</v>
      </c>
      <c r="N30" s="633">
        <f>7*3000000</f>
        <v>21000000</v>
      </c>
      <c r="O30" s="633"/>
      <c r="P30" s="641"/>
      <c r="Q30" s="626"/>
    </row>
    <row r="31" spans="1:17" ht="30" x14ac:dyDescent="0.25">
      <c r="A31" s="637">
        <v>4</v>
      </c>
      <c r="B31" s="637">
        <v>2.06</v>
      </c>
      <c r="C31" s="647" t="s">
        <v>2652</v>
      </c>
      <c r="D31" s="632" t="s">
        <v>2653</v>
      </c>
      <c r="E31" s="630"/>
      <c r="F31" s="630"/>
      <c r="G31" s="630"/>
      <c r="H31" s="630"/>
      <c r="I31" s="630"/>
      <c r="J31" s="630"/>
      <c r="K31" s="630"/>
      <c r="L31" s="634" t="s">
        <v>2654</v>
      </c>
      <c r="M31" s="644" t="s">
        <v>2655</v>
      </c>
      <c r="N31" s="633"/>
      <c r="O31" s="633">
        <v>140000000</v>
      </c>
      <c r="P31" s="641"/>
      <c r="Q31" s="626" t="s">
        <v>200</v>
      </c>
    </row>
    <row r="32" spans="1:17" x14ac:dyDescent="0.25">
      <c r="A32" s="637"/>
      <c r="B32" s="637">
        <v>3.02</v>
      </c>
      <c r="C32" s="647"/>
      <c r="D32" s="632" t="s">
        <v>2656</v>
      </c>
      <c r="E32" s="630"/>
      <c r="F32" s="630"/>
      <c r="G32" s="630"/>
      <c r="H32" s="630"/>
      <c r="I32" s="630"/>
      <c r="J32" s="630"/>
      <c r="K32" s="630"/>
      <c r="L32" s="634" t="s">
        <v>2643</v>
      </c>
      <c r="M32" s="644" t="s">
        <v>2657</v>
      </c>
      <c r="N32" s="633"/>
      <c r="O32" s="633">
        <f>36*0.4*3000000</f>
        <v>43200000</v>
      </c>
      <c r="P32" s="641"/>
      <c r="Q32" s="626" t="s">
        <v>200</v>
      </c>
    </row>
    <row r="33" spans="1:19" ht="30" x14ac:dyDescent="0.25">
      <c r="A33" s="626">
        <v>5</v>
      </c>
      <c r="B33" s="626"/>
      <c r="C33" s="647" t="s">
        <v>2658</v>
      </c>
      <c r="D33" s="632" t="s">
        <v>2659</v>
      </c>
      <c r="E33" s="630"/>
      <c r="F33" s="630"/>
      <c r="G33" s="630"/>
      <c r="H33" s="630"/>
      <c r="I33" s="630"/>
      <c r="J33" s="630"/>
      <c r="K33" s="630"/>
      <c r="L33" s="634" t="s">
        <v>2660</v>
      </c>
      <c r="M33" s="637" t="s">
        <v>2661</v>
      </c>
      <c r="N33" s="633"/>
      <c r="O33" s="633"/>
      <c r="P33" s="641">
        <v>25000000</v>
      </c>
      <c r="Q33" s="626" t="s">
        <v>2662</v>
      </c>
    </row>
    <row r="34" spans="1:19" ht="171" x14ac:dyDescent="0.25">
      <c r="A34" s="626"/>
      <c r="B34" s="626"/>
      <c r="C34" s="647"/>
      <c r="D34" s="632" t="s">
        <v>2663</v>
      </c>
      <c r="E34" s="630"/>
      <c r="F34" s="630"/>
      <c r="G34" s="630"/>
      <c r="H34" s="630"/>
      <c r="I34" s="630"/>
      <c r="J34" s="630"/>
      <c r="K34" s="630"/>
      <c r="L34" s="634" t="s">
        <v>2637</v>
      </c>
      <c r="M34" s="626" t="s">
        <v>214</v>
      </c>
      <c r="N34" s="633"/>
      <c r="O34" s="633"/>
      <c r="P34" s="641"/>
      <c r="Q34" s="636"/>
    </row>
    <row r="35" spans="1:19" ht="28.5" x14ac:dyDescent="0.25">
      <c r="A35" s="626">
        <v>6</v>
      </c>
      <c r="B35" s="626"/>
      <c r="C35" s="632" t="s">
        <v>2664</v>
      </c>
      <c r="D35" s="632" t="s">
        <v>2665</v>
      </c>
      <c r="E35" s="630"/>
      <c r="F35" s="630"/>
      <c r="G35" s="630"/>
      <c r="H35" s="630"/>
      <c r="I35" s="630"/>
      <c r="J35" s="630"/>
      <c r="K35" s="630"/>
      <c r="L35" s="634" t="s">
        <v>2666</v>
      </c>
      <c r="M35" s="637" t="s">
        <v>2667</v>
      </c>
      <c r="N35" s="633"/>
      <c r="O35" s="633">
        <v>5000000</v>
      </c>
      <c r="P35" s="634"/>
      <c r="Q35" s="626" t="s">
        <v>2668</v>
      </c>
    </row>
    <row r="36" spans="1:19" ht="28.5" x14ac:dyDescent="0.25">
      <c r="A36" s="626">
        <v>7</v>
      </c>
      <c r="B36" s="626">
        <v>26.09</v>
      </c>
      <c r="C36" s="632" t="s">
        <v>2669</v>
      </c>
      <c r="D36" s="632" t="s">
        <v>2670</v>
      </c>
      <c r="E36" s="630"/>
      <c r="F36" s="630"/>
      <c r="G36" s="630"/>
      <c r="H36" s="630"/>
      <c r="I36" s="630"/>
      <c r="J36" s="630"/>
      <c r="K36" s="630"/>
      <c r="L36" s="634" t="s">
        <v>2666</v>
      </c>
      <c r="M36" s="637" t="s">
        <v>806</v>
      </c>
      <c r="N36" s="633"/>
      <c r="O36" s="633">
        <v>4000000</v>
      </c>
      <c r="P36" s="634"/>
      <c r="Q36" s="626" t="s">
        <v>1073</v>
      </c>
    </row>
    <row r="37" spans="1:19" ht="15.75" x14ac:dyDescent="0.25">
      <c r="A37" s="868" t="s">
        <v>2671</v>
      </c>
      <c r="B37" s="868"/>
      <c r="C37" s="868"/>
      <c r="D37" s="868"/>
      <c r="E37" s="868"/>
      <c r="F37" s="868"/>
      <c r="G37" s="868"/>
      <c r="H37" s="868"/>
      <c r="I37" s="868"/>
      <c r="J37" s="868"/>
      <c r="K37" s="868"/>
      <c r="L37" s="868"/>
      <c r="M37" s="868"/>
      <c r="N37" s="633">
        <f>SUM(N24:N36)</f>
        <v>49800000</v>
      </c>
      <c r="O37" s="633">
        <f>SUM(O24:O36)</f>
        <v>218650000</v>
      </c>
      <c r="P37" s="634"/>
      <c r="Q37" s="636"/>
      <c r="R37" s="633">
        <f>N37</f>
        <v>49800000</v>
      </c>
      <c r="S37" s="633">
        <f>O37</f>
        <v>218650000</v>
      </c>
    </row>
    <row r="38" spans="1:19" x14ac:dyDescent="0.25">
      <c r="A38" s="648"/>
      <c r="B38" s="648"/>
      <c r="C38" s="649"/>
      <c r="D38" s="649"/>
      <c r="L38" s="650"/>
      <c r="M38" s="649"/>
      <c r="N38" s="651"/>
      <c r="O38" s="651"/>
      <c r="P38" s="650"/>
      <c r="Q38" s="652"/>
    </row>
    <row r="39" spans="1:19" ht="21" x14ac:dyDescent="0.25">
      <c r="A39" s="653" t="s">
        <v>2672</v>
      </c>
      <c r="B39" s="653"/>
      <c r="C39" s="654"/>
      <c r="D39" s="654"/>
      <c r="E39" s="654"/>
      <c r="F39" s="654"/>
      <c r="G39" s="654"/>
      <c r="H39" s="654"/>
      <c r="I39" s="654"/>
      <c r="J39" s="654"/>
      <c r="K39" s="654"/>
      <c r="L39" s="654"/>
      <c r="M39" s="654"/>
      <c r="N39" s="654"/>
      <c r="O39" s="654"/>
      <c r="P39" s="654"/>
      <c r="Q39" s="654"/>
    </row>
    <row r="40" spans="1:19" x14ac:dyDescent="0.25">
      <c r="A40" s="618" t="s">
        <v>2598</v>
      </c>
      <c r="B40" s="618"/>
      <c r="C40" s="618" t="s">
        <v>2599</v>
      </c>
      <c r="D40" s="618" t="s">
        <v>2600</v>
      </c>
      <c r="E40" s="618" t="s">
        <v>2601</v>
      </c>
      <c r="F40" s="867" t="s">
        <v>2483</v>
      </c>
      <c r="G40" s="867"/>
      <c r="H40" s="867"/>
      <c r="I40" s="867"/>
      <c r="J40" s="867"/>
      <c r="K40" s="867"/>
      <c r="L40" s="618" t="s">
        <v>2602</v>
      </c>
      <c r="M40" s="618" t="s">
        <v>2603</v>
      </c>
      <c r="N40" s="867" t="s">
        <v>2604</v>
      </c>
      <c r="O40" s="867"/>
      <c r="P40" s="867"/>
      <c r="Q40" s="618" t="s">
        <v>2605</v>
      </c>
    </row>
    <row r="41" spans="1:19" x14ac:dyDescent="0.25">
      <c r="A41" s="619"/>
      <c r="B41" s="619"/>
      <c r="C41" s="619"/>
      <c r="D41" s="619"/>
      <c r="E41" s="619"/>
      <c r="F41" s="620" t="s">
        <v>2606</v>
      </c>
      <c r="G41" s="620" t="s">
        <v>11</v>
      </c>
      <c r="H41" s="620" t="s">
        <v>12</v>
      </c>
      <c r="I41" s="620" t="s">
        <v>13</v>
      </c>
      <c r="J41" s="620" t="s">
        <v>14</v>
      </c>
      <c r="K41" s="620" t="s">
        <v>15</v>
      </c>
      <c r="L41" s="621"/>
      <c r="M41" s="621"/>
      <c r="N41" s="620" t="s">
        <v>2488</v>
      </c>
      <c r="O41" s="620" t="s">
        <v>2607</v>
      </c>
      <c r="P41" s="620" t="s">
        <v>2608</v>
      </c>
      <c r="Q41" s="621"/>
    </row>
    <row r="42" spans="1:19" x14ac:dyDescent="0.25">
      <c r="A42" s="622">
        <v>1</v>
      </c>
      <c r="B42" s="622"/>
      <c r="C42" s="622">
        <v>2</v>
      </c>
      <c r="D42" s="622">
        <v>3</v>
      </c>
      <c r="E42" s="622">
        <v>4</v>
      </c>
      <c r="F42" s="622">
        <v>5</v>
      </c>
      <c r="G42" s="622">
        <v>6</v>
      </c>
      <c r="H42" s="622">
        <v>7</v>
      </c>
      <c r="I42" s="622">
        <v>8</v>
      </c>
      <c r="J42" s="622">
        <v>9</v>
      </c>
      <c r="K42" s="622">
        <v>10</v>
      </c>
      <c r="L42" s="622">
        <v>11</v>
      </c>
      <c r="M42" s="622">
        <v>12</v>
      </c>
      <c r="N42" s="622">
        <v>13</v>
      </c>
      <c r="O42" s="622">
        <v>14</v>
      </c>
      <c r="P42" s="622">
        <v>15</v>
      </c>
      <c r="Q42" s="622">
        <v>16</v>
      </c>
    </row>
    <row r="43" spans="1:19" ht="30" x14ac:dyDescent="0.25">
      <c r="A43" s="655">
        <v>1</v>
      </c>
      <c r="B43" s="637">
        <v>2.0299999999999998</v>
      </c>
      <c r="C43" s="656" t="s">
        <v>2673</v>
      </c>
      <c r="D43" s="656" t="s">
        <v>2674</v>
      </c>
      <c r="E43" s="656" t="s">
        <v>2675</v>
      </c>
      <c r="F43" s="656" t="s">
        <v>2676</v>
      </c>
      <c r="G43" s="656"/>
      <c r="H43" s="656"/>
      <c r="I43" s="656"/>
      <c r="J43" s="656"/>
      <c r="K43" s="656"/>
      <c r="L43" s="656" t="s">
        <v>2677</v>
      </c>
      <c r="M43" s="655" t="s">
        <v>2678</v>
      </c>
      <c r="N43" s="657"/>
      <c r="O43" s="657">
        <f>400000*130+(8*3000000)</f>
        <v>76000000</v>
      </c>
      <c r="P43" s="656"/>
      <c r="Q43" s="626" t="s">
        <v>200</v>
      </c>
      <c r="R43" s="658"/>
    </row>
    <row r="44" spans="1:19" ht="30" x14ac:dyDescent="0.25">
      <c r="A44" s="655">
        <v>2</v>
      </c>
      <c r="B44" s="655">
        <v>3.08</v>
      </c>
      <c r="C44" s="656" t="s">
        <v>2679</v>
      </c>
      <c r="D44" s="656" t="s">
        <v>2680</v>
      </c>
      <c r="E44" s="656" t="s">
        <v>2675</v>
      </c>
      <c r="F44" s="656" t="s">
        <v>2676</v>
      </c>
      <c r="G44" s="656"/>
      <c r="H44" s="656"/>
      <c r="I44" s="656"/>
      <c r="J44" s="656"/>
      <c r="K44" s="656"/>
      <c r="L44" s="656" t="s">
        <v>2677</v>
      </c>
      <c r="M44" s="655" t="s">
        <v>2678</v>
      </c>
      <c r="N44" s="657"/>
      <c r="O44" s="657">
        <f>400000*130</f>
        <v>52000000</v>
      </c>
      <c r="P44" s="656"/>
      <c r="Q44" s="626" t="s">
        <v>200</v>
      </c>
      <c r="R44" s="658"/>
    </row>
    <row r="45" spans="1:19" ht="120" x14ac:dyDescent="0.25">
      <c r="A45" s="655">
        <v>3</v>
      </c>
      <c r="B45" s="655">
        <v>3.08</v>
      </c>
      <c r="C45" s="656"/>
      <c r="D45" s="656" t="s">
        <v>2680</v>
      </c>
      <c r="E45" s="659" t="s">
        <v>2681</v>
      </c>
      <c r="F45" s="659" t="s">
        <v>2682</v>
      </c>
      <c r="G45" s="659"/>
      <c r="H45" s="659"/>
      <c r="I45" s="659"/>
      <c r="J45" s="659"/>
      <c r="K45" s="659"/>
      <c r="L45" s="660" t="s">
        <v>2683</v>
      </c>
      <c r="M45" s="661" t="s">
        <v>2684</v>
      </c>
      <c r="N45" s="657"/>
      <c r="O45" s="662">
        <f>100*400000</f>
        <v>40000000</v>
      </c>
      <c r="P45" s="656"/>
      <c r="Q45" s="626" t="s">
        <v>200</v>
      </c>
      <c r="R45" s="658"/>
    </row>
    <row r="46" spans="1:19" ht="120" x14ac:dyDescent="0.25">
      <c r="A46" s="655">
        <v>4</v>
      </c>
      <c r="B46" s="655"/>
      <c r="C46" s="656"/>
      <c r="D46" s="660" t="s">
        <v>2685</v>
      </c>
      <c r="E46" s="659" t="s">
        <v>2681</v>
      </c>
      <c r="F46" s="659" t="s">
        <v>2682</v>
      </c>
      <c r="G46" s="659"/>
      <c r="H46" s="659"/>
      <c r="I46" s="659"/>
      <c r="J46" s="659"/>
      <c r="K46" s="659"/>
      <c r="L46" s="659" t="s">
        <v>2686</v>
      </c>
      <c r="M46" s="661" t="s">
        <v>2687</v>
      </c>
      <c r="N46" s="657"/>
      <c r="O46" s="662">
        <f>200*400000</f>
        <v>80000000</v>
      </c>
      <c r="P46" s="656"/>
      <c r="Q46" s="626" t="s">
        <v>200</v>
      </c>
      <c r="R46" s="658"/>
    </row>
    <row r="47" spans="1:19" ht="105" x14ac:dyDescent="0.25">
      <c r="A47" s="655">
        <v>5</v>
      </c>
      <c r="B47" s="655">
        <v>26.06</v>
      </c>
      <c r="C47" s="656"/>
      <c r="D47" s="659" t="s">
        <v>2688</v>
      </c>
      <c r="E47" s="659" t="s">
        <v>2689</v>
      </c>
      <c r="F47" s="659" t="s">
        <v>2690</v>
      </c>
      <c r="G47" s="659"/>
      <c r="H47" s="659"/>
      <c r="I47" s="659"/>
      <c r="J47" s="659"/>
      <c r="K47" s="659"/>
      <c r="L47" s="659" t="s">
        <v>2691</v>
      </c>
      <c r="M47" s="663" t="s">
        <v>2692</v>
      </c>
      <c r="N47" s="657">
        <f>4*3500000</f>
        <v>14000000</v>
      </c>
      <c r="O47" s="656"/>
      <c r="P47" s="656"/>
      <c r="Q47" s="626"/>
      <c r="R47" s="658"/>
    </row>
    <row r="48" spans="1:19" ht="60" x14ac:dyDescent="0.25">
      <c r="A48" s="655">
        <v>6</v>
      </c>
      <c r="B48" s="645">
        <v>26.13</v>
      </c>
      <c r="C48" s="656" t="s">
        <v>2693</v>
      </c>
      <c r="D48" s="656" t="s">
        <v>2694</v>
      </c>
      <c r="E48" s="656" t="s">
        <v>2675</v>
      </c>
      <c r="F48" s="656" t="s">
        <v>2676</v>
      </c>
      <c r="G48" s="656"/>
      <c r="H48" s="656"/>
      <c r="I48" s="656"/>
      <c r="J48" s="656"/>
      <c r="K48" s="656"/>
      <c r="L48" s="656" t="s">
        <v>2695</v>
      </c>
      <c r="M48" s="655" t="s">
        <v>2696</v>
      </c>
      <c r="N48" s="657">
        <f>210*200000</f>
        <v>42000000</v>
      </c>
      <c r="O48" s="656"/>
      <c r="P48" s="656"/>
      <c r="Q48" s="636"/>
    </row>
    <row r="49" spans="1:17" ht="64.5" customHeight="1" x14ac:dyDescent="0.25">
      <c r="A49" s="655">
        <v>7</v>
      </c>
      <c r="B49" s="655"/>
      <c r="C49" s="656" t="s">
        <v>2697</v>
      </c>
      <c r="D49" s="656" t="s">
        <v>2698</v>
      </c>
      <c r="E49" s="656" t="s">
        <v>2699</v>
      </c>
      <c r="F49" s="656" t="s">
        <v>2676</v>
      </c>
      <c r="G49" s="656"/>
      <c r="H49" s="656"/>
      <c r="I49" s="656"/>
      <c r="J49" s="656"/>
      <c r="K49" s="656"/>
      <c r="L49" s="656" t="s">
        <v>2700</v>
      </c>
      <c r="M49" s="655" t="s">
        <v>2701</v>
      </c>
      <c r="N49" s="657"/>
      <c r="O49" s="657">
        <v>10000000</v>
      </c>
      <c r="P49" s="656"/>
      <c r="Q49" s="626" t="s">
        <v>200</v>
      </c>
    </row>
    <row r="50" spans="1:17" ht="41.25" customHeight="1" x14ac:dyDescent="0.25">
      <c r="A50" s="655">
        <v>8</v>
      </c>
      <c r="B50" s="655">
        <v>2.0699999999999998</v>
      </c>
      <c r="C50" s="656" t="s">
        <v>195</v>
      </c>
      <c r="D50" s="656" t="s">
        <v>2702</v>
      </c>
      <c r="E50" s="656" t="s">
        <v>2703</v>
      </c>
      <c r="F50" s="656" t="s">
        <v>2676</v>
      </c>
      <c r="G50" s="656"/>
      <c r="H50" s="656"/>
      <c r="I50" s="656"/>
      <c r="J50" s="656"/>
      <c r="K50" s="656"/>
      <c r="L50" s="656" t="s">
        <v>2704</v>
      </c>
      <c r="M50" s="655" t="s">
        <v>2705</v>
      </c>
      <c r="N50" s="657"/>
      <c r="O50" s="657">
        <f>10*4870000</f>
        <v>48700000</v>
      </c>
      <c r="P50" s="656"/>
      <c r="Q50" s="626" t="s">
        <v>200</v>
      </c>
    </row>
    <row r="51" spans="1:17" ht="25.5" customHeight="1" x14ac:dyDescent="0.25">
      <c r="A51" s="655">
        <v>9</v>
      </c>
      <c r="B51" s="655">
        <v>2.0699999999999998</v>
      </c>
      <c r="C51" s="656" t="s">
        <v>195</v>
      </c>
      <c r="D51" s="664" t="s">
        <v>2706</v>
      </c>
      <c r="E51" s="664" t="s">
        <v>2707</v>
      </c>
      <c r="F51" s="664" t="s">
        <v>637</v>
      </c>
      <c r="G51" s="664"/>
      <c r="H51" s="664"/>
      <c r="I51" s="664"/>
      <c r="J51" s="664"/>
      <c r="K51" s="664"/>
      <c r="L51" s="664" t="s">
        <v>2708</v>
      </c>
      <c r="M51" s="665" t="s">
        <v>2089</v>
      </c>
      <c r="N51" s="662"/>
      <c r="O51" s="662">
        <v>4870000</v>
      </c>
      <c r="P51" s="656"/>
      <c r="Q51" s="626" t="s">
        <v>200</v>
      </c>
    </row>
    <row r="52" spans="1:17" ht="24" customHeight="1" x14ac:dyDescent="0.25">
      <c r="A52" s="655">
        <v>10</v>
      </c>
      <c r="B52" s="655"/>
      <c r="C52" s="656"/>
      <c r="D52" s="664" t="s">
        <v>2709</v>
      </c>
      <c r="E52" s="664" t="s">
        <v>2707</v>
      </c>
      <c r="F52" s="664"/>
      <c r="G52" s="664"/>
      <c r="H52" s="664"/>
      <c r="I52" s="664"/>
      <c r="J52" s="664"/>
      <c r="K52" s="664"/>
      <c r="L52" s="664" t="s">
        <v>2708</v>
      </c>
      <c r="M52" s="665" t="s">
        <v>2632</v>
      </c>
      <c r="N52" s="662"/>
      <c r="O52" s="662">
        <v>1000000</v>
      </c>
      <c r="P52" s="656"/>
      <c r="Q52" s="626" t="s">
        <v>200</v>
      </c>
    </row>
    <row r="53" spans="1:17" ht="24" customHeight="1" x14ac:dyDescent="0.25">
      <c r="A53" s="655">
        <v>11</v>
      </c>
      <c r="B53" s="655">
        <v>3.01</v>
      </c>
      <c r="C53" s="656" t="s">
        <v>2710</v>
      </c>
      <c r="D53" s="666"/>
      <c r="E53" s="664"/>
      <c r="F53" s="664"/>
      <c r="G53" s="664"/>
      <c r="H53" s="664"/>
      <c r="I53" s="664"/>
      <c r="J53" s="664"/>
      <c r="K53" s="664"/>
      <c r="L53" s="666" t="s">
        <v>2711</v>
      </c>
      <c r="M53" s="646" t="s">
        <v>2712</v>
      </c>
      <c r="N53" s="662"/>
      <c r="O53" s="662">
        <v>20000000</v>
      </c>
      <c r="P53" s="656"/>
      <c r="Q53" s="626" t="s">
        <v>200</v>
      </c>
    </row>
    <row r="54" spans="1:17" ht="24" customHeight="1" x14ac:dyDescent="0.25">
      <c r="A54" s="655">
        <v>12</v>
      </c>
      <c r="B54" s="655">
        <v>3.01</v>
      </c>
      <c r="C54" s="656" t="s">
        <v>2713</v>
      </c>
      <c r="D54" s="666"/>
      <c r="E54" s="664"/>
      <c r="F54" s="664"/>
      <c r="G54" s="664"/>
      <c r="H54" s="664"/>
      <c r="I54" s="664"/>
      <c r="J54" s="664"/>
      <c r="K54" s="664"/>
      <c r="L54" s="666" t="s">
        <v>2711</v>
      </c>
      <c r="M54" s="646" t="s">
        <v>2712</v>
      </c>
      <c r="N54" s="662"/>
      <c r="O54" s="662">
        <v>20000000</v>
      </c>
      <c r="P54" s="656"/>
      <c r="Q54" s="626" t="s">
        <v>200</v>
      </c>
    </row>
    <row r="55" spans="1:17" ht="24" customHeight="1" x14ac:dyDescent="0.25">
      <c r="A55" s="655">
        <v>13</v>
      </c>
      <c r="B55" s="655">
        <v>3.01</v>
      </c>
      <c r="C55" s="656" t="s">
        <v>2714</v>
      </c>
      <c r="D55" s="666"/>
      <c r="E55" s="664"/>
      <c r="F55" s="664"/>
      <c r="G55" s="664"/>
      <c r="H55" s="664"/>
      <c r="I55" s="664"/>
      <c r="J55" s="664"/>
      <c r="K55" s="664"/>
      <c r="L55" s="666" t="s">
        <v>2715</v>
      </c>
      <c r="M55" s="646" t="s">
        <v>2712</v>
      </c>
      <c r="N55" s="662"/>
      <c r="O55" s="662">
        <v>20000000</v>
      </c>
      <c r="P55" s="656"/>
      <c r="Q55" s="626" t="s">
        <v>200</v>
      </c>
    </row>
    <row r="56" spans="1:17" x14ac:dyDescent="0.25">
      <c r="A56" s="665">
        <v>14</v>
      </c>
      <c r="B56" s="665"/>
      <c r="C56" s="664" t="s">
        <v>2716</v>
      </c>
      <c r="D56" s="664" t="s">
        <v>2717</v>
      </c>
      <c r="E56" s="664" t="s">
        <v>2718</v>
      </c>
      <c r="F56" s="664" t="s">
        <v>637</v>
      </c>
      <c r="G56" s="664"/>
      <c r="H56" s="664"/>
      <c r="I56" s="664"/>
      <c r="J56" s="664"/>
      <c r="K56" s="664"/>
      <c r="L56" s="664" t="s">
        <v>2708</v>
      </c>
      <c r="M56" s="665" t="s">
        <v>2719</v>
      </c>
      <c r="N56" s="667"/>
      <c r="O56" s="667">
        <v>1750000</v>
      </c>
      <c r="P56" s="664"/>
      <c r="Q56" s="666" t="s">
        <v>2720</v>
      </c>
    </row>
    <row r="57" spans="1:17" x14ac:dyDescent="0.25">
      <c r="A57" s="665">
        <v>15</v>
      </c>
      <c r="B57" s="665"/>
      <c r="C57" s="664"/>
      <c r="D57" s="664" t="s">
        <v>2721</v>
      </c>
      <c r="E57" s="664" t="s">
        <v>2722</v>
      </c>
      <c r="F57" s="664" t="s">
        <v>2723</v>
      </c>
      <c r="G57" s="664"/>
      <c r="H57" s="664"/>
      <c r="I57" s="664"/>
      <c r="J57" s="664"/>
      <c r="K57" s="664"/>
      <c r="L57" s="664" t="s">
        <v>2708</v>
      </c>
      <c r="M57" s="665" t="s">
        <v>2719</v>
      </c>
      <c r="N57" s="667"/>
      <c r="O57" s="667">
        <v>1500000</v>
      </c>
      <c r="P57" s="664"/>
      <c r="Q57" s="666" t="s">
        <v>2724</v>
      </c>
    </row>
    <row r="58" spans="1:17" x14ac:dyDescent="0.25">
      <c r="A58" s="665">
        <v>16</v>
      </c>
      <c r="B58" s="665"/>
      <c r="C58" s="664"/>
      <c r="D58" s="664" t="s">
        <v>2725</v>
      </c>
      <c r="E58" s="664" t="s">
        <v>2726</v>
      </c>
      <c r="F58" s="664" t="s">
        <v>2723</v>
      </c>
      <c r="G58" s="664"/>
      <c r="H58" s="664"/>
      <c r="I58" s="664"/>
      <c r="J58" s="664"/>
      <c r="K58" s="664"/>
      <c r="L58" s="664" t="s">
        <v>2708</v>
      </c>
      <c r="M58" s="646" t="s">
        <v>2719</v>
      </c>
      <c r="N58" s="667"/>
      <c r="O58" s="667">
        <v>1500000</v>
      </c>
      <c r="P58" s="664"/>
      <c r="Q58" s="666" t="s">
        <v>2668</v>
      </c>
    </row>
    <row r="59" spans="1:17" x14ac:dyDescent="0.25">
      <c r="A59" s="665">
        <v>17</v>
      </c>
      <c r="B59" s="665"/>
      <c r="C59" s="664"/>
      <c r="D59" s="664" t="s">
        <v>2727</v>
      </c>
      <c r="E59" s="664" t="s">
        <v>2728</v>
      </c>
      <c r="F59" s="664" t="s">
        <v>2723</v>
      </c>
      <c r="G59" s="664"/>
      <c r="H59" s="664"/>
      <c r="I59" s="664"/>
      <c r="J59" s="664"/>
      <c r="K59" s="664"/>
      <c r="L59" s="664" t="s">
        <v>2708</v>
      </c>
      <c r="M59" s="646" t="s">
        <v>2719</v>
      </c>
      <c r="N59" s="667"/>
      <c r="O59" s="667">
        <v>1500000</v>
      </c>
      <c r="P59" s="664"/>
      <c r="Q59" s="666" t="s">
        <v>2668</v>
      </c>
    </row>
    <row r="60" spans="1:17" x14ac:dyDescent="0.25">
      <c r="A60" s="665">
        <v>18</v>
      </c>
      <c r="B60" s="665"/>
      <c r="C60" s="664"/>
      <c r="D60" s="664" t="s">
        <v>2729</v>
      </c>
      <c r="E60" s="664" t="s">
        <v>2730</v>
      </c>
      <c r="F60" s="664" t="s">
        <v>637</v>
      </c>
      <c r="G60" s="664"/>
      <c r="H60" s="664"/>
      <c r="I60" s="664"/>
      <c r="J60" s="664"/>
      <c r="K60" s="664"/>
      <c r="L60" s="664" t="s">
        <v>2708</v>
      </c>
      <c r="M60" s="665" t="s">
        <v>2719</v>
      </c>
      <c r="N60" s="667"/>
      <c r="O60" s="667">
        <v>2000000</v>
      </c>
      <c r="P60" s="664"/>
      <c r="Q60" s="666" t="s">
        <v>2731</v>
      </c>
    </row>
    <row r="61" spans="1:17" ht="75" x14ac:dyDescent="0.25">
      <c r="A61" s="665">
        <v>19</v>
      </c>
      <c r="B61" s="665"/>
      <c r="C61" s="664"/>
      <c r="D61" s="659" t="s">
        <v>2732</v>
      </c>
      <c r="E61" s="659" t="s">
        <v>2733</v>
      </c>
      <c r="F61" s="659"/>
      <c r="G61" s="659"/>
      <c r="H61" s="659"/>
      <c r="I61" s="659"/>
      <c r="J61" s="659"/>
      <c r="K61" s="659"/>
      <c r="L61" s="668" t="s">
        <v>632</v>
      </c>
      <c r="M61" s="669" t="s">
        <v>1882</v>
      </c>
      <c r="N61" s="667"/>
      <c r="O61" s="667">
        <v>1500000</v>
      </c>
      <c r="P61" s="659"/>
      <c r="Q61" s="666" t="s">
        <v>2724</v>
      </c>
    </row>
    <row r="62" spans="1:17" ht="30" x14ac:dyDescent="0.25">
      <c r="A62" s="665">
        <v>20</v>
      </c>
      <c r="B62" s="665">
        <v>7.2</v>
      </c>
      <c r="C62" s="664"/>
      <c r="D62" s="659" t="s">
        <v>2725</v>
      </c>
      <c r="E62" s="659" t="s">
        <v>2726</v>
      </c>
      <c r="F62" s="659"/>
      <c r="G62" s="659"/>
      <c r="H62" s="659"/>
      <c r="I62" s="659"/>
      <c r="J62" s="659"/>
      <c r="K62" s="659"/>
      <c r="L62" s="668" t="s">
        <v>632</v>
      </c>
      <c r="M62" s="669" t="s">
        <v>1882</v>
      </c>
      <c r="N62" s="667"/>
      <c r="O62" s="667">
        <v>1500000</v>
      </c>
      <c r="P62" s="659"/>
      <c r="Q62" s="666" t="s">
        <v>2668</v>
      </c>
    </row>
    <row r="63" spans="1:17" ht="75" x14ac:dyDescent="0.25">
      <c r="A63" s="665">
        <v>21</v>
      </c>
      <c r="B63" s="665">
        <v>7.08</v>
      </c>
      <c r="C63" s="664"/>
      <c r="D63" s="659" t="s">
        <v>2734</v>
      </c>
      <c r="E63" s="659" t="s">
        <v>2735</v>
      </c>
      <c r="F63" s="659"/>
      <c r="G63" s="659"/>
      <c r="H63" s="659"/>
      <c r="I63" s="659"/>
      <c r="J63" s="659"/>
      <c r="K63" s="659"/>
      <c r="L63" s="668" t="s">
        <v>632</v>
      </c>
      <c r="M63" s="669" t="s">
        <v>1882</v>
      </c>
      <c r="N63" s="667"/>
      <c r="O63" s="667">
        <v>1500000</v>
      </c>
      <c r="P63" s="659"/>
      <c r="Q63" s="666" t="s">
        <v>2668</v>
      </c>
    </row>
    <row r="64" spans="1:17" ht="45" x14ac:dyDescent="0.25">
      <c r="A64" s="665">
        <v>22</v>
      </c>
      <c r="B64" s="665">
        <v>7.03</v>
      </c>
      <c r="C64" s="664"/>
      <c r="D64" s="659" t="s">
        <v>2736</v>
      </c>
      <c r="E64" s="659" t="s">
        <v>2737</v>
      </c>
      <c r="F64" s="670"/>
      <c r="G64" s="659"/>
      <c r="H64" s="659"/>
      <c r="I64" s="659"/>
      <c r="J64" s="659"/>
      <c r="K64" s="659"/>
      <c r="L64" s="668" t="s">
        <v>632</v>
      </c>
      <c r="M64" s="669" t="s">
        <v>1882</v>
      </c>
      <c r="N64" s="667"/>
      <c r="O64" s="667">
        <v>1500000</v>
      </c>
      <c r="P64" s="659"/>
      <c r="Q64" s="666" t="s">
        <v>2668</v>
      </c>
    </row>
    <row r="65" spans="1:17" ht="90" x14ac:dyDescent="0.25">
      <c r="A65" s="665">
        <v>23</v>
      </c>
      <c r="B65" s="665"/>
      <c r="C65" s="664"/>
      <c r="D65" s="659" t="s">
        <v>2738</v>
      </c>
      <c r="E65" s="659" t="s">
        <v>2739</v>
      </c>
      <c r="F65" s="659"/>
      <c r="G65" s="659"/>
      <c r="H65" s="659"/>
      <c r="I65" s="659"/>
      <c r="J65" s="659"/>
      <c r="K65" s="659"/>
      <c r="L65" s="668" t="s">
        <v>632</v>
      </c>
      <c r="M65" s="669" t="s">
        <v>1882</v>
      </c>
      <c r="N65" s="667"/>
      <c r="O65" s="667">
        <v>1500000</v>
      </c>
      <c r="P65" s="659"/>
      <c r="Q65" s="666" t="s">
        <v>2731</v>
      </c>
    </row>
    <row r="66" spans="1:17" x14ac:dyDescent="0.25">
      <c r="A66" s="665">
        <v>24</v>
      </c>
      <c r="B66" s="665">
        <v>13.16</v>
      </c>
      <c r="C66" s="664" t="s">
        <v>2740</v>
      </c>
      <c r="D66" s="664" t="s">
        <v>2741</v>
      </c>
      <c r="E66" s="664" t="s">
        <v>2635</v>
      </c>
      <c r="F66" s="664"/>
      <c r="G66" s="664"/>
      <c r="H66" s="664"/>
      <c r="I66" s="664"/>
      <c r="J66" s="664"/>
      <c r="K66" s="664"/>
      <c r="L66" s="664" t="s">
        <v>2708</v>
      </c>
      <c r="M66" s="646" t="s">
        <v>210</v>
      </c>
      <c r="N66" s="667"/>
      <c r="O66" s="667">
        <v>2000000</v>
      </c>
      <c r="P66" s="664"/>
      <c r="Q66" s="666" t="s">
        <v>2742</v>
      </c>
    </row>
    <row r="67" spans="1:17" x14ac:dyDescent="0.25">
      <c r="A67" s="665">
        <v>25</v>
      </c>
      <c r="B67" s="665">
        <v>13.16</v>
      </c>
      <c r="C67" s="664"/>
      <c r="D67" s="664" t="s">
        <v>2743</v>
      </c>
      <c r="E67" s="664" t="s">
        <v>2635</v>
      </c>
      <c r="F67" s="664"/>
      <c r="G67" s="664"/>
      <c r="H67" s="664"/>
      <c r="I67" s="664"/>
      <c r="J67" s="664"/>
      <c r="K67" s="664"/>
      <c r="L67" s="664" t="s">
        <v>2708</v>
      </c>
      <c r="M67" s="646" t="s">
        <v>210</v>
      </c>
      <c r="N67" s="667"/>
      <c r="O67" s="667">
        <v>1500000</v>
      </c>
      <c r="P67" s="664"/>
      <c r="Q67" s="666" t="s">
        <v>2742</v>
      </c>
    </row>
    <row r="68" spans="1:17" x14ac:dyDescent="0.25">
      <c r="A68" s="665">
        <v>26</v>
      </c>
      <c r="B68" s="665"/>
      <c r="C68" s="664"/>
      <c r="D68" s="664" t="s">
        <v>2744</v>
      </c>
      <c r="E68" s="664" t="s">
        <v>2635</v>
      </c>
      <c r="F68" s="664"/>
      <c r="G68" s="664"/>
      <c r="H68" s="664"/>
      <c r="I68" s="664"/>
      <c r="J68" s="664"/>
      <c r="K68" s="664"/>
      <c r="L68" s="664" t="s">
        <v>2708</v>
      </c>
      <c r="M68" s="646" t="s">
        <v>2745</v>
      </c>
      <c r="N68" s="667"/>
      <c r="O68" s="667">
        <v>5000000</v>
      </c>
      <c r="P68" s="664"/>
      <c r="Q68" s="666" t="s">
        <v>2742</v>
      </c>
    </row>
    <row r="69" spans="1:17" ht="60" x14ac:dyDescent="0.25">
      <c r="A69" s="665">
        <v>27</v>
      </c>
      <c r="B69" s="665">
        <v>13.16</v>
      </c>
      <c r="C69" s="664"/>
      <c r="D69" s="659" t="s">
        <v>2746</v>
      </c>
      <c r="E69" s="659" t="s">
        <v>2747</v>
      </c>
      <c r="F69" s="659" t="s">
        <v>2748</v>
      </c>
      <c r="G69" s="659"/>
      <c r="H69" s="659"/>
      <c r="I69" s="659"/>
      <c r="J69" s="659"/>
      <c r="K69" s="659"/>
      <c r="L69" s="659" t="s">
        <v>2749</v>
      </c>
      <c r="M69" s="661" t="s">
        <v>2750</v>
      </c>
      <c r="N69" s="667"/>
      <c r="O69" s="667">
        <v>5000000</v>
      </c>
      <c r="P69" s="664"/>
      <c r="Q69" s="666" t="s">
        <v>2742</v>
      </c>
    </row>
    <row r="70" spans="1:17" x14ac:dyDescent="0.25">
      <c r="A70" s="665">
        <v>28</v>
      </c>
      <c r="B70" s="665"/>
      <c r="C70" s="664" t="s">
        <v>2669</v>
      </c>
      <c r="D70" s="664" t="s">
        <v>2751</v>
      </c>
      <c r="E70" s="664" t="s">
        <v>2752</v>
      </c>
      <c r="F70" s="664" t="s">
        <v>2753</v>
      </c>
      <c r="G70" s="664"/>
      <c r="H70" s="664"/>
      <c r="I70" s="664"/>
      <c r="J70" s="664"/>
      <c r="K70" s="664"/>
      <c r="L70" s="664" t="s">
        <v>2708</v>
      </c>
      <c r="M70" s="664" t="s">
        <v>2754</v>
      </c>
      <c r="N70" s="667"/>
      <c r="O70" s="667">
        <v>3000000</v>
      </c>
      <c r="P70" s="664"/>
      <c r="Q70" s="666" t="s">
        <v>2755</v>
      </c>
    </row>
    <row r="71" spans="1:17" ht="30" x14ac:dyDescent="0.25">
      <c r="A71" s="665">
        <v>29</v>
      </c>
      <c r="B71" s="665"/>
      <c r="C71" s="664"/>
      <c r="D71" s="656" t="s">
        <v>2756</v>
      </c>
      <c r="E71" s="656" t="s">
        <v>2757</v>
      </c>
      <c r="F71" s="656" t="s">
        <v>2758</v>
      </c>
      <c r="G71" s="656"/>
      <c r="H71" s="656"/>
      <c r="I71" s="656"/>
      <c r="J71" s="656"/>
      <c r="K71" s="656"/>
      <c r="L71" s="656" t="s">
        <v>138</v>
      </c>
      <c r="M71" s="655" t="s">
        <v>625</v>
      </c>
      <c r="N71" s="657"/>
      <c r="O71" s="657">
        <v>3000000</v>
      </c>
      <c r="P71" s="664"/>
      <c r="Q71" s="666" t="s">
        <v>2755</v>
      </c>
    </row>
    <row r="72" spans="1:17" ht="60" x14ac:dyDescent="0.25">
      <c r="A72" s="665">
        <v>30</v>
      </c>
      <c r="B72" s="665"/>
      <c r="C72" s="664"/>
      <c r="D72" s="659" t="s">
        <v>2759</v>
      </c>
      <c r="E72" s="659" t="s">
        <v>2760</v>
      </c>
      <c r="F72" s="659" t="s">
        <v>2761</v>
      </c>
      <c r="G72" s="659"/>
      <c r="H72" s="659"/>
      <c r="I72" s="659"/>
      <c r="J72" s="659"/>
      <c r="K72" s="659"/>
      <c r="L72" s="659" t="s">
        <v>2762</v>
      </c>
      <c r="M72" s="661" t="s">
        <v>2754</v>
      </c>
      <c r="N72" s="657"/>
      <c r="O72" s="657">
        <v>1000000</v>
      </c>
      <c r="P72" s="664"/>
      <c r="Q72" s="666" t="s">
        <v>2755</v>
      </c>
    </row>
    <row r="73" spans="1:17" x14ac:dyDescent="0.25">
      <c r="A73" s="665">
        <v>31</v>
      </c>
      <c r="B73" s="665"/>
      <c r="C73" s="664" t="s">
        <v>2763</v>
      </c>
      <c r="D73" s="664" t="s">
        <v>2764</v>
      </c>
      <c r="E73" s="664" t="s">
        <v>1598</v>
      </c>
      <c r="F73" s="664"/>
      <c r="G73" s="664"/>
      <c r="H73" s="664"/>
      <c r="I73" s="664"/>
      <c r="J73" s="664"/>
      <c r="K73" s="664"/>
      <c r="L73" s="664" t="s">
        <v>2708</v>
      </c>
      <c r="M73" s="665" t="s">
        <v>2765</v>
      </c>
      <c r="N73" s="667"/>
      <c r="O73" s="667">
        <v>1000000</v>
      </c>
      <c r="P73" s="664"/>
      <c r="Q73" s="666" t="s">
        <v>200</v>
      </c>
    </row>
    <row r="74" spans="1:17" x14ac:dyDescent="0.25">
      <c r="A74" s="665">
        <v>32</v>
      </c>
      <c r="B74" s="665">
        <v>26.05</v>
      </c>
      <c r="C74" s="664" t="s">
        <v>2766</v>
      </c>
      <c r="D74" s="664" t="s">
        <v>2767</v>
      </c>
      <c r="E74" s="664" t="s">
        <v>2707</v>
      </c>
      <c r="F74" s="664"/>
      <c r="G74" s="664"/>
      <c r="H74" s="664"/>
      <c r="I74" s="664"/>
      <c r="J74" s="664"/>
      <c r="K74" s="664"/>
      <c r="L74" s="666" t="s">
        <v>193</v>
      </c>
      <c r="M74" s="646" t="s">
        <v>806</v>
      </c>
      <c r="N74" s="667"/>
      <c r="O74" s="667">
        <f>2400000</f>
        <v>2400000</v>
      </c>
      <c r="P74" s="664"/>
      <c r="Q74" s="666" t="s">
        <v>2768</v>
      </c>
    </row>
    <row r="75" spans="1:17" x14ac:dyDescent="0.25">
      <c r="A75" s="665">
        <v>33</v>
      </c>
      <c r="B75" s="665">
        <v>3.02</v>
      </c>
      <c r="C75" s="664" t="s">
        <v>2769</v>
      </c>
      <c r="D75" s="664" t="s">
        <v>2770</v>
      </c>
      <c r="E75" s="664" t="s">
        <v>2771</v>
      </c>
      <c r="F75" s="664"/>
      <c r="G75" s="664"/>
      <c r="H75" s="664"/>
      <c r="I75" s="664"/>
      <c r="J75" s="664"/>
      <c r="K75" s="664"/>
      <c r="L75" s="666" t="s">
        <v>2772</v>
      </c>
      <c r="M75" s="665" t="s">
        <v>2773</v>
      </c>
      <c r="N75" s="671"/>
      <c r="O75" s="671">
        <f>2.5*185*0.4*3000000</f>
        <v>555000000</v>
      </c>
      <c r="P75" s="664"/>
      <c r="Q75" s="666" t="s">
        <v>200</v>
      </c>
    </row>
    <row r="76" spans="1:17" ht="90" x14ac:dyDescent="0.25">
      <c r="A76" s="661">
        <v>34</v>
      </c>
      <c r="B76" s="661"/>
      <c r="C76" s="659" t="s">
        <v>2774</v>
      </c>
      <c r="D76" s="659" t="s">
        <v>2775</v>
      </c>
      <c r="E76" s="659" t="s">
        <v>2776</v>
      </c>
      <c r="F76" s="659" t="s">
        <v>2777</v>
      </c>
      <c r="G76" s="659"/>
      <c r="H76" s="659"/>
      <c r="I76" s="659"/>
      <c r="J76" s="659"/>
      <c r="K76" s="659"/>
      <c r="L76" s="659" t="s">
        <v>2778</v>
      </c>
      <c r="M76" s="661" t="s">
        <v>2089</v>
      </c>
      <c r="N76" s="672">
        <v>2000000</v>
      </c>
      <c r="O76" s="659"/>
      <c r="P76" s="659"/>
      <c r="Q76" s="666"/>
    </row>
    <row r="77" spans="1:17" ht="75" x14ac:dyDescent="0.25">
      <c r="A77" s="665">
        <v>35</v>
      </c>
      <c r="B77" s="665">
        <v>26.02</v>
      </c>
      <c r="C77" s="659" t="s">
        <v>2779</v>
      </c>
      <c r="D77" s="659" t="s">
        <v>2780</v>
      </c>
      <c r="E77" s="659" t="s">
        <v>2781</v>
      </c>
      <c r="F77" s="659" t="s">
        <v>2782</v>
      </c>
      <c r="G77" s="659"/>
      <c r="H77" s="659"/>
      <c r="I77" s="659"/>
      <c r="J77" s="659"/>
      <c r="K77" s="659"/>
      <c r="L77" s="659" t="s">
        <v>2783</v>
      </c>
      <c r="M77" s="659"/>
      <c r="N77" s="659"/>
      <c r="O77" s="671">
        <v>5000000</v>
      </c>
      <c r="P77" s="664"/>
      <c r="Q77" s="666" t="s">
        <v>200</v>
      </c>
    </row>
    <row r="78" spans="1:17" ht="105" x14ac:dyDescent="0.25">
      <c r="A78" s="665">
        <v>36</v>
      </c>
      <c r="B78" s="655">
        <v>26.02</v>
      </c>
      <c r="C78" s="659" t="s">
        <v>2784</v>
      </c>
      <c r="D78" s="659" t="s">
        <v>2785</v>
      </c>
      <c r="E78" s="659" t="s">
        <v>2786</v>
      </c>
      <c r="F78" s="659" t="s">
        <v>2787</v>
      </c>
      <c r="G78" s="659"/>
      <c r="H78" s="659"/>
      <c r="I78" s="659"/>
      <c r="J78" s="659"/>
      <c r="K78" s="659"/>
      <c r="L78" s="659" t="s">
        <v>2788</v>
      </c>
      <c r="M78" s="659"/>
      <c r="N78" s="659"/>
      <c r="O78" s="671">
        <v>10000000</v>
      </c>
      <c r="P78" s="664"/>
      <c r="Q78" s="666" t="s">
        <v>200</v>
      </c>
    </row>
    <row r="79" spans="1:17" ht="105" x14ac:dyDescent="0.25">
      <c r="A79" s="655">
        <v>37</v>
      </c>
      <c r="B79" s="655">
        <v>17.03</v>
      </c>
      <c r="C79" s="656" t="s">
        <v>2789</v>
      </c>
      <c r="D79" s="656" t="s">
        <v>2790</v>
      </c>
      <c r="E79" s="656" t="s">
        <v>2791</v>
      </c>
      <c r="F79" s="656" t="s">
        <v>2676</v>
      </c>
      <c r="G79" s="656"/>
      <c r="H79" s="656"/>
      <c r="I79" s="656"/>
      <c r="J79" s="656"/>
      <c r="K79" s="656"/>
      <c r="L79" s="656" t="s">
        <v>2792</v>
      </c>
      <c r="M79" s="656" t="s">
        <v>2793</v>
      </c>
      <c r="N79" s="673">
        <v>4000000</v>
      </c>
      <c r="O79" s="656"/>
      <c r="P79" s="656"/>
      <c r="Q79" s="656"/>
    </row>
    <row r="80" spans="1:17" ht="90" x14ac:dyDescent="0.25">
      <c r="A80" s="655">
        <v>38</v>
      </c>
      <c r="B80" s="655">
        <v>14.01</v>
      </c>
      <c r="C80" s="656" t="s">
        <v>2794</v>
      </c>
      <c r="D80" s="656" t="s">
        <v>2795</v>
      </c>
      <c r="E80" s="656" t="s">
        <v>2796</v>
      </c>
      <c r="F80" s="656" t="s">
        <v>2676</v>
      </c>
      <c r="G80" s="656"/>
      <c r="H80" s="656"/>
      <c r="I80" s="656"/>
      <c r="J80" s="656"/>
      <c r="K80" s="656"/>
      <c r="L80" s="656" t="s">
        <v>2792</v>
      </c>
      <c r="M80" s="656" t="s">
        <v>2797</v>
      </c>
      <c r="N80" s="673"/>
      <c r="O80" s="673"/>
      <c r="P80" s="673">
        <v>28000000</v>
      </c>
      <c r="Q80" s="656" t="s">
        <v>2662</v>
      </c>
    </row>
    <row r="81" spans="1:19" ht="90" x14ac:dyDescent="0.25">
      <c r="A81" s="655">
        <v>39</v>
      </c>
      <c r="B81" s="655">
        <v>22.05</v>
      </c>
      <c r="C81" s="656" t="s">
        <v>2798</v>
      </c>
      <c r="D81" s="656" t="s">
        <v>2799</v>
      </c>
      <c r="E81" s="656" t="s">
        <v>2800</v>
      </c>
      <c r="F81" s="656" t="s">
        <v>2676</v>
      </c>
      <c r="G81" s="656"/>
      <c r="H81" s="656"/>
      <c r="I81" s="656"/>
      <c r="J81" s="656"/>
      <c r="K81" s="656"/>
      <c r="L81" s="656" t="s">
        <v>2792</v>
      </c>
      <c r="M81" s="656" t="s">
        <v>2801</v>
      </c>
      <c r="N81" s="673">
        <v>4650000</v>
      </c>
      <c r="O81" s="673"/>
      <c r="P81" s="656"/>
      <c r="Q81" s="656"/>
    </row>
    <row r="82" spans="1:19" ht="150" x14ac:dyDescent="0.25">
      <c r="A82" s="655">
        <v>40</v>
      </c>
      <c r="B82" s="665">
        <v>13.16</v>
      </c>
      <c r="C82" s="656" t="s">
        <v>2802</v>
      </c>
      <c r="D82" s="656" t="s">
        <v>2803</v>
      </c>
      <c r="E82" s="656" t="s">
        <v>2804</v>
      </c>
      <c r="F82" s="656" t="s">
        <v>2676</v>
      </c>
      <c r="G82" s="656"/>
      <c r="H82" s="656"/>
      <c r="I82" s="656"/>
      <c r="J82" s="656"/>
      <c r="K82" s="656"/>
      <c r="L82" s="656" t="s">
        <v>2792</v>
      </c>
      <c r="M82" s="656" t="s">
        <v>2805</v>
      </c>
      <c r="N82" s="673">
        <v>4900000</v>
      </c>
      <c r="O82" s="656"/>
      <c r="P82" s="656"/>
      <c r="Q82" s="656"/>
    </row>
    <row r="83" spans="1:19" ht="15.75" x14ac:dyDescent="0.25">
      <c r="A83" s="868" t="s">
        <v>2671</v>
      </c>
      <c r="B83" s="868"/>
      <c r="C83" s="868"/>
      <c r="D83" s="868"/>
      <c r="E83" s="868"/>
      <c r="F83" s="868"/>
      <c r="G83" s="868"/>
      <c r="H83" s="868"/>
      <c r="I83" s="868"/>
      <c r="J83" s="868"/>
      <c r="K83" s="868"/>
      <c r="L83" s="868"/>
      <c r="M83" s="868"/>
      <c r="N83" s="673">
        <f>SUM(N43:N82)</f>
        <v>71550000</v>
      </c>
      <c r="O83" s="674">
        <f>SUM(O43:O82)</f>
        <v>982220000</v>
      </c>
      <c r="P83" s="656"/>
      <c r="Q83" s="656"/>
      <c r="R83" s="675">
        <f>N83</f>
        <v>71550000</v>
      </c>
      <c r="S83" s="617">
        <f>O83</f>
        <v>982220000</v>
      </c>
    </row>
    <row r="84" spans="1:19" x14ac:dyDescent="0.25">
      <c r="A84" s="676"/>
      <c r="B84" s="676"/>
      <c r="C84" s="677"/>
      <c r="D84" s="677"/>
      <c r="E84" s="677"/>
      <c r="F84" s="677"/>
      <c r="G84" s="677"/>
      <c r="H84" s="677"/>
      <c r="I84" s="677"/>
      <c r="J84" s="677"/>
      <c r="K84" s="677"/>
      <c r="L84" s="677"/>
      <c r="M84" s="677"/>
      <c r="N84" s="678"/>
      <c r="O84" s="677"/>
      <c r="P84" s="677"/>
      <c r="Q84" s="677"/>
    </row>
    <row r="85" spans="1:19" ht="21" x14ac:dyDescent="0.25">
      <c r="A85" s="679" t="s">
        <v>2806</v>
      </c>
      <c r="B85" s="679"/>
      <c r="C85" s="680"/>
      <c r="D85" s="680"/>
      <c r="E85" s="680"/>
      <c r="F85" s="680"/>
      <c r="G85" s="680"/>
      <c r="H85" s="680"/>
      <c r="I85" s="680"/>
      <c r="J85" s="680"/>
      <c r="K85" s="680"/>
      <c r="L85" s="680"/>
      <c r="M85" s="680"/>
      <c r="N85" s="680"/>
      <c r="O85" s="680"/>
      <c r="P85" s="680"/>
      <c r="Q85" s="680"/>
    </row>
    <row r="86" spans="1:19" x14ac:dyDescent="0.25">
      <c r="A86" s="618" t="s">
        <v>2598</v>
      </c>
      <c r="B86" s="618"/>
      <c r="C86" s="618" t="s">
        <v>2599</v>
      </c>
      <c r="D86" s="618" t="s">
        <v>2600</v>
      </c>
      <c r="E86" s="618" t="s">
        <v>2601</v>
      </c>
      <c r="F86" s="867" t="s">
        <v>2483</v>
      </c>
      <c r="G86" s="867"/>
      <c r="H86" s="867"/>
      <c r="I86" s="867"/>
      <c r="J86" s="867"/>
      <c r="K86" s="867"/>
      <c r="L86" s="618" t="s">
        <v>2602</v>
      </c>
      <c r="M86" s="618" t="s">
        <v>2603</v>
      </c>
      <c r="N86" s="867" t="s">
        <v>2604</v>
      </c>
      <c r="O86" s="867"/>
      <c r="P86" s="867"/>
      <c r="Q86" s="618" t="s">
        <v>2605</v>
      </c>
    </row>
    <row r="87" spans="1:19" x14ac:dyDescent="0.25">
      <c r="A87" s="619"/>
      <c r="B87" s="619"/>
      <c r="C87" s="619"/>
      <c r="D87" s="619"/>
      <c r="E87" s="619"/>
      <c r="F87" s="620" t="s">
        <v>2606</v>
      </c>
      <c r="G87" s="620" t="s">
        <v>11</v>
      </c>
      <c r="H87" s="620" t="s">
        <v>12</v>
      </c>
      <c r="I87" s="620" t="s">
        <v>13</v>
      </c>
      <c r="J87" s="620" t="s">
        <v>14</v>
      </c>
      <c r="K87" s="620" t="s">
        <v>15</v>
      </c>
      <c r="L87" s="621"/>
      <c r="M87" s="621"/>
      <c r="N87" s="620" t="s">
        <v>2488</v>
      </c>
      <c r="O87" s="620" t="s">
        <v>2607</v>
      </c>
      <c r="P87" s="620" t="s">
        <v>2608</v>
      </c>
      <c r="Q87" s="621"/>
    </row>
    <row r="88" spans="1:19" x14ac:dyDescent="0.25">
      <c r="A88" s="622">
        <v>1</v>
      </c>
      <c r="B88" s="622"/>
      <c r="C88" s="622">
        <v>2</v>
      </c>
      <c r="D88" s="622">
        <v>3</v>
      </c>
      <c r="E88" s="622">
        <v>4</v>
      </c>
      <c r="F88" s="622">
        <v>5</v>
      </c>
      <c r="G88" s="622">
        <v>6</v>
      </c>
      <c r="H88" s="622">
        <v>7</v>
      </c>
      <c r="I88" s="622">
        <v>8</v>
      </c>
      <c r="J88" s="622">
        <v>9</v>
      </c>
      <c r="K88" s="622">
        <v>10</v>
      </c>
      <c r="L88" s="622">
        <v>11</v>
      </c>
      <c r="M88" s="622">
        <v>12</v>
      </c>
      <c r="N88" s="622">
        <v>13</v>
      </c>
      <c r="O88" s="622">
        <v>14</v>
      </c>
      <c r="P88" s="622">
        <v>15</v>
      </c>
      <c r="Q88" s="622">
        <v>16</v>
      </c>
    </row>
    <row r="89" spans="1:19" x14ac:dyDescent="0.25">
      <c r="A89" s="681" t="s">
        <v>2634</v>
      </c>
      <c r="B89" s="682"/>
      <c r="C89" s="682"/>
      <c r="D89" s="682"/>
      <c r="E89" s="682"/>
      <c r="F89" s="682"/>
      <c r="G89" s="682"/>
      <c r="H89" s="682"/>
      <c r="I89" s="682"/>
      <c r="J89" s="682"/>
      <c r="K89" s="682"/>
      <c r="L89" s="682"/>
      <c r="M89" s="682"/>
      <c r="N89" s="682"/>
      <c r="O89" s="682"/>
      <c r="P89" s="682"/>
      <c r="Q89" s="683"/>
    </row>
    <row r="90" spans="1:19" ht="195" x14ac:dyDescent="0.25">
      <c r="A90" s="684">
        <v>1</v>
      </c>
      <c r="B90" s="684">
        <v>14.01</v>
      </c>
      <c r="C90" s="685" t="s">
        <v>2807</v>
      </c>
      <c r="D90" s="685" t="s">
        <v>2808</v>
      </c>
      <c r="E90" s="686" t="s">
        <v>2809</v>
      </c>
      <c r="F90" s="685"/>
      <c r="G90" s="684" t="s">
        <v>49</v>
      </c>
      <c r="H90" s="684" t="s">
        <v>49</v>
      </c>
      <c r="I90" s="684" t="s">
        <v>49</v>
      </c>
      <c r="J90" s="684" t="s">
        <v>49</v>
      </c>
      <c r="K90" s="684" t="s">
        <v>49</v>
      </c>
      <c r="L90" s="687" t="s">
        <v>2810</v>
      </c>
      <c r="M90" s="684" t="s">
        <v>214</v>
      </c>
      <c r="N90" s="688"/>
      <c r="O90" s="688">
        <v>12000000</v>
      </c>
      <c r="P90" s="689"/>
      <c r="Q90" s="687" t="s">
        <v>2811</v>
      </c>
    </row>
    <row r="91" spans="1:19" ht="135" x14ac:dyDescent="0.25">
      <c r="A91" s="684">
        <v>2</v>
      </c>
      <c r="B91" s="684">
        <v>14.02</v>
      </c>
      <c r="C91" s="685"/>
      <c r="D91" s="685" t="s">
        <v>2812</v>
      </c>
      <c r="E91" s="686" t="s">
        <v>2813</v>
      </c>
      <c r="F91" s="685"/>
      <c r="G91" s="684" t="s">
        <v>49</v>
      </c>
      <c r="H91" s="684" t="s">
        <v>49</v>
      </c>
      <c r="I91" s="684" t="s">
        <v>49</v>
      </c>
      <c r="J91" s="684" t="s">
        <v>49</v>
      </c>
      <c r="K91" s="684" t="s">
        <v>49</v>
      </c>
      <c r="L91" s="687" t="s">
        <v>2810</v>
      </c>
      <c r="M91" s="684" t="s">
        <v>2814</v>
      </c>
      <c r="N91" s="688"/>
      <c r="O91" s="688">
        <f>250000*52</f>
        <v>13000000</v>
      </c>
      <c r="P91" s="689"/>
      <c r="Q91" s="687" t="s">
        <v>2811</v>
      </c>
    </row>
    <row r="92" spans="1:19" ht="135" x14ac:dyDescent="0.25">
      <c r="A92" s="684">
        <v>3</v>
      </c>
      <c r="B92" s="684">
        <v>18.02</v>
      </c>
      <c r="C92" s="685"/>
      <c r="D92" s="685" t="s">
        <v>2815</v>
      </c>
      <c r="E92" s="686" t="s">
        <v>2816</v>
      </c>
      <c r="F92" s="685"/>
      <c r="G92" s="684" t="s">
        <v>49</v>
      </c>
      <c r="H92" s="684" t="s">
        <v>49</v>
      </c>
      <c r="I92" s="684" t="s">
        <v>49</v>
      </c>
      <c r="J92" s="684" t="s">
        <v>49</v>
      </c>
      <c r="K92" s="684" t="s">
        <v>49</v>
      </c>
      <c r="L92" s="687" t="s">
        <v>2817</v>
      </c>
      <c r="M92" s="684" t="s">
        <v>649</v>
      </c>
      <c r="N92" s="688">
        <v>1500000</v>
      </c>
      <c r="O92" s="688"/>
      <c r="P92" s="689"/>
      <c r="Q92" s="687"/>
    </row>
    <row r="93" spans="1:19" ht="150" x14ac:dyDescent="0.25">
      <c r="A93" s="684">
        <v>4</v>
      </c>
      <c r="B93" s="684">
        <v>4.01</v>
      </c>
      <c r="C93" s="685" t="s">
        <v>2818</v>
      </c>
      <c r="D93" s="685" t="s">
        <v>2819</v>
      </c>
      <c r="E93" s="686" t="s">
        <v>2820</v>
      </c>
      <c r="F93" s="685"/>
      <c r="G93" s="684" t="s">
        <v>49</v>
      </c>
      <c r="H93" s="684" t="s">
        <v>49</v>
      </c>
      <c r="I93" s="684" t="s">
        <v>49</v>
      </c>
      <c r="J93" s="684" t="s">
        <v>49</v>
      </c>
      <c r="K93" s="684" t="s">
        <v>49</v>
      </c>
      <c r="L93" s="685" t="s">
        <v>2821</v>
      </c>
      <c r="M93" s="684" t="s">
        <v>292</v>
      </c>
      <c r="N93" s="688"/>
      <c r="O93" s="688">
        <v>25000000</v>
      </c>
      <c r="P93" s="689"/>
      <c r="Q93" s="687" t="s">
        <v>1073</v>
      </c>
    </row>
    <row r="94" spans="1:19" ht="62.25" customHeight="1" x14ac:dyDescent="0.25">
      <c r="A94" s="684">
        <v>5</v>
      </c>
      <c r="B94" s="684">
        <v>13.16</v>
      </c>
      <c r="C94" s="685"/>
      <c r="D94" s="685" t="s">
        <v>2822</v>
      </c>
      <c r="E94" s="686" t="s">
        <v>2823</v>
      </c>
      <c r="F94" s="685"/>
      <c r="G94" s="684" t="s">
        <v>49</v>
      </c>
      <c r="H94" s="684" t="s">
        <v>49</v>
      </c>
      <c r="I94" s="684" t="s">
        <v>49</v>
      </c>
      <c r="J94" s="684" t="s">
        <v>49</v>
      </c>
      <c r="K94" s="684" t="s">
        <v>49</v>
      </c>
      <c r="L94" s="687" t="s">
        <v>2824</v>
      </c>
      <c r="M94" s="684" t="s">
        <v>2825</v>
      </c>
      <c r="N94" s="688"/>
      <c r="O94" s="688">
        <v>25000000</v>
      </c>
      <c r="P94" s="689"/>
      <c r="Q94" s="687" t="s">
        <v>2742</v>
      </c>
    </row>
    <row r="95" spans="1:19" ht="135" x14ac:dyDescent="0.25">
      <c r="A95" s="684">
        <v>6</v>
      </c>
      <c r="B95" s="684">
        <v>13.16</v>
      </c>
      <c r="C95" s="685"/>
      <c r="D95" s="685" t="s">
        <v>2826</v>
      </c>
      <c r="E95" s="686" t="s">
        <v>2827</v>
      </c>
      <c r="F95" s="685"/>
      <c r="G95" s="684" t="s">
        <v>49</v>
      </c>
      <c r="H95" s="684" t="s">
        <v>49</v>
      </c>
      <c r="I95" s="684" t="s">
        <v>49</v>
      </c>
      <c r="J95" s="684" t="s">
        <v>49</v>
      </c>
      <c r="K95" s="684" t="s">
        <v>49</v>
      </c>
      <c r="L95" s="685" t="s">
        <v>2821</v>
      </c>
      <c r="M95" s="684" t="s">
        <v>281</v>
      </c>
      <c r="N95" s="688"/>
      <c r="O95" s="688">
        <v>5000000</v>
      </c>
      <c r="P95" s="689"/>
      <c r="Q95" s="687" t="s">
        <v>1073</v>
      </c>
    </row>
    <row r="96" spans="1:19" ht="93" customHeight="1" x14ac:dyDescent="0.25">
      <c r="A96" s="684">
        <v>7</v>
      </c>
      <c r="B96" s="684">
        <v>9.0299999999999994</v>
      </c>
      <c r="C96" s="685"/>
      <c r="D96" s="685" t="s">
        <v>2828</v>
      </c>
      <c r="E96" s="686" t="s">
        <v>2829</v>
      </c>
      <c r="F96" s="685"/>
      <c r="G96" s="684" t="s">
        <v>49</v>
      </c>
      <c r="H96" s="684" t="s">
        <v>49</v>
      </c>
      <c r="I96" s="684" t="s">
        <v>49</v>
      </c>
      <c r="J96" s="684" t="s">
        <v>49</v>
      </c>
      <c r="K96" s="684" t="s">
        <v>49</v>
      </c>
      <c r="L96" s="687" t="s">
        <v>2830</v>
      </c>
      <c r="M96" s="684" t="s">
        <v>2814</v>
      </c>
      <c r="N96" s="688"/>
      <c r="O96" s="688">
        <v>7500000</v>
      </c>
      <c r="P96" s="689"/>
      <c r="Q96" s="687" t="s">
        <v>1073</v>
      </c>
    </row>
    <row r="97" spans="1:17" ht="105" x14ac:dyDescent="0.25">
      <c r="A97" s="684">
        <v>8</v>
      </c>
      <c r="B97" s="684">
        <v>9.0299999999999994</v>
      </c>
      <c r="C97" s="685"/>
      <c r="D97" s="685" t="s">
        <v>2831</v>
      </c>
      <c r="E97" s="686" t="s">
        <v>2832</v>
      </c>
      <c r="F97" s="685"/>
      <c r="G97" s="684" t="s">
        <v>49</v>
      </c>
      <c r="H97" s="684" t="s">
        <v>49</v>
      </c>
      <c r="I97" s="684" t="s">
        <v>49</v>
      </c>
      <c r="J97" s="684" t="s">
        <v>49</v>
      </c>
      <c r="K97" s="684" t="s">
        <v>49</v>
      </c>
      <c r="L97" s="687" t="s">
        <v>2830</v>
      </c>
      <c r="M97" s="687" t="s">
        <v>2814</v>
      </c>
      <c r="N97" s="688"/>
      <c r="O97" s="688">
        <v>7500000</v>
      </c>
      <c r="P97" s="689"/>
      <c r="Q97" s="687" t="s">
        <v>1073</v>
      </c>
    </row>
    <row r="98" spans="1:17" ht="45" x14ac:dyDescent="0.25">
      <c r="A98" s="684">
        <v>9</v>
      </c>
      <c r="B98" s="684">
        <v>13.06</v>
      </c>
      <c r="C98" s="685" t="s">
        <v>1169</v>
      </c>
      <c r="D98" s="685" t="s">
        <v>2833</v>
      </c>
      <c r="E98" s="686" t="s">
        <v>2834</v>
      </c>
      <c r="F98" s="685"/>
      <c r="G98" s="684" t="s">
        <v>49</v>
      </c>
      <c r="H98" s="684" t="s">
        <v>49</v>
      </c>
      <c r="I98" s="684" t="s">
        <v>49</v>
      </c>
      <c r="J98" s="684" t="s">
        <v>49</v>
      </c>
      <c r="K98" s="684" t="s">
        <v>49</v>
      </c>
      <c r="L98" s="687" t="s">
        <v>2830</v>
      </c>
      <c r="M98" s="687" t="s">
        <v>2814</v>
      </c>
      <c r="N98" s="688"/>
      <c r="O98" s="688">
        <v>13000000</v>
      </c>
      <c r="P98" s="689"/>
      <c r="Q98" s="687" t="s">
        <v>2835</v>
      </c>
    </row>
    <row r="99" spans="1:17" ht="30" x14ac:dyDescent="0.25">
      <c r="A99" s="684">
        <v>10</v>
      </c>
      <c r="B99" s="684">
        <v>13.06</v>
      </c>
      <c r="C99" s="685"/>
      <c r="D99" s="685" t="s">
        <v>2836</v>
      </c>
      <c r="E99" s="687" t="s">
        <v>2837</v>
      </c>
      <c r="F99" s="687"/>
      <c r="G99" s="684" t="s">
        <v>49</v>
      </c>
      <c r="H99" s="684" t="s">
        <v>49</v>
      </c>
      <c r="I99" s="684" t="s">
        <v>49</v>
      </c>
      <c r="J99" s="684" t="s">
        <v>49</v>
      </c>
      <c r="K99" s="684" t="s">
        <v>49</v>
      </c>
      <c r="L99" s="687" t="s">
        <v>2817</v>
      </c>
      <c r="M99" s="687" t="s">
        <v>214</v>
      </c>
      <c r="N99" s="688"/>
      <c r="O99" s="688">
        <v>10000000</v>
      </c>
      <c r="P99" s="689"/>
      <c r="Q99" s="687" t="s">
        <v>2835</v>
      </c>
    </row>
    <row r="100" spans="1:17" ht="30" x14ac:dyDescent="0.25">
      <c r="A100" s="684">
        <v>11</v>
      </c>
      <c r="B100" s="690">
        <v>13.1</v>
      </c>
      <c r="C100" s="685"/>
      <c r="D100" s="685" t="s">
        <v>2838</v>
      </c>
      <c r="E100" s="687" t="s">
        <v>2839</v>
      </c>
      <c r="F100" s="687"/>
      <c r="G100" s="684" t="s">
        <v>49</v>
      </c>
      <c r="H100" s="684" t="s">
        <v>49</v>
      </c>
      <c r="I100" s="684" t="s">
        <v>49</v>
      </c>
      <c r="J100" s="684" t="s">
        <v>49</v>
      </c>
      <c r="K100" s="684" t="s">
        <v>49</v>
      </c>
      <c r="L100" s="687" t="s">
        <v>2817</v>
      </c>
      <c r="M100" s="687" t="s">
        <v>2814</v>
      </c>
      <c r="N100" s="689"/>
      <c r="O100" s="689"/>
      <c r="P100" s="688">
        <v>10000000</v>
      </c>
      <c r="Q100" s="687" t="s">
        <v>2835</v>
      </c>
    </row>
    <row r="101" spans="1:17" x14ac:dyDescent="0.25">
      <c r="A101" s="684">
        <v>12</v>
      </c>
      <c r="B101" s="684">
        <v>13.06</v>
      </c>
      <c r="C101" s="685"/>
      <c r="D101" s="685" t="s">
        <v>2840</v>
      </c>
      <c r="E101" s="687" t="s">
        <v>2841</v>
      </c>
      <c r="F101" s="687"/>
      <c r="G101" s="684" t="s">
        <v>49</v>
      </c>
      <c r="H101" s="684" t="s">
        <v>49</v>
      </c>
      <c r="I101" s="684" t="s">
        <v>49</v>
      </c>
      <c r="J101" s="684" t="s">
        <v>49</v>
      </c>
      <c r="K101" s="684" t="s">
        <v>49</v>
      </c>
      <c r="L101" s="687" t="s">
        <v>2817</v>
      </c>
      <c r="M101" s="687" t="s">
        <v>2842</v>
      </c>
      <c r="N101" s="688"/>
      <c r="O101" s="688">
        <v>1800000</v>
      </c>
      <c r="P101" s="689"/>
      <c r="Q101" s="687" t="s">
        <v>2835</v>
      </c>
    </row>
    <row r="102" spans="1:17" ht="105" x14ac:dyDescent="0.25">
      <c r="A102" s="684">
        <v>13</v>
      </c>
      <c r="B102" s="684">
        <v>13.19</v>
      </c>
      <c r="C102" s="685" t="s">
        <v>2843</v>
      </c>
      <c r="D102" s="685" t="s">
        <v>2844</v>
      </c>
      <c r="E102" s="691" t="s">
        <v>2845</v>
      </c>
      <c r="F102" s="687"/>
      <c r="G102" s="684" t="s">
        <v>49</v>
      </c>
      <c r="H102" s="684" t="s">
        <v>49</v>
      </c>
      <c r="I102" s="684" t="s">
        <v>49</v>
      </c>
      <c r="J102" s="684" t="s">
        <v>49</v>
      </c>
      <c r="K102" s="684" t="s">
        <v>49</v>
      </c>
      <c r="L102" s="687" t="s">
        <v>2830</v>
      </c>
      <c r="M102" s="687" t="s">
        <v>649</v>
      </c>
      <c r="N102" s="688"/>
      <c r="O102" s="688">
        <v>1800000</v>
      </c>
      <c r="P102" s="689"/>
      <c r="Q102" s="687" t="s">
        <v>2846</v>
      </c>
    </row>
    <row r="103" spans="1:17" ht="48" customHeight="1" x14ac:dyDescent="0.25">
      <c r="A103" s="684">
        <v>14</v>
      </c>
      <c r="B103" s="684">
        <v>13.15</v>
      </c>
      <c r="C103" s="685"/>
      <c r="D103" s="685" t="s">
        <v>2847</v>
      </c>
      <c r="E103" s="687" t="s">
        <v>2848</v>
      </c>
      <c r="F103" s="687"/>
      <c r="G103" s="684" t="s">
        <v>49</v>
      </c>
      <c r="H103" s="684" t="s">
        <v>49</v>
      </c>
      <c r="I103" s="684" t="s">
        <v>49</v>
      </c>
      <c r="J103" s="684" t="s">
        <v>49</v>
      </c>
      <c r="K103" s="684" t="s">
        <v>49</v>
      </c>
      <c r="L103" s="687" t="s">
        <v>2817</v>
      </c>
      <c r="M103" s="684" t="s">
        <v>649</v>
      </c>
      <c r="N103" s="688"/>
      <c r="O103" s="688">
        <v>1800000</v>
      </c>
      <c r="P103" s="689"/>
      <c r="Q103" s="687" t="s">
        <v>2846</v>
      </c>
    </row>
    <row r="104" spans="1:17" ht="135" x14ac:dyDescent="0.25">
      <c r="A104" s="684">
        <v>15</v>
      </c>
      <c r="B104" s="684"/>
      <c r="C104" s="685"/>
      <c r="D104" s="685" t="s">
        <v>2849</v>
      </c>
      <c r="E104" s="685" t="s">
        <v>2850</v>
      </c>
      <c r="F104" s="687"/>
      <c r="G104" s="684" t="s">
        <v>49</v>
      </c>
      <c r="H104" s="684" t="s">
        <v>49</v>
      </c>
      <c r="I104" s="684" t="s">
        <v>49</v>
      </c>
      <c r="J104" s="684" t="s">
        <v>49</v>
      </c>
      <c r="K104" s="684" t="s">
        <v>49</v>
      </c>
      <c r="L104" s="685" t="s">
        <v>2821</v>
      </c>
      <c r="M104" s="684" t="s">
        <v>214</v>
      </c>
      <c r="N104" s="688"/>
      <c r="O104" s="688">
        <v>7500000</v>
      </c>
      <c r="P104" s="689"/>
      <c r="Q104" s="687"/>
    </row>
    <row r="105" spans="1:17" x14ac:dyDescent="0.25">
      <c r="A105" s="684"/>
      <c r="B105" s="684"/>
      <c r="C105" s="685"/>
      <c r="D105" s="685"/>
      <c r="E105" s="687"/>
      <c r="F105" s="687"/>
      <c r="G105" s="684"/>
      <c r="H105" s="684"/>
      <c r="I105" s="684"/>
      <c r="J105" s="684"/>
      <c r="K105" s="684"/>
      <c r="L105" s="687"/>
      <c r="M105" s="684"/>
      <c r="N105" s="689"/>
      <c r="O105" s="689"/>
      <c r="P105" s="689"/>
      <c r="Q105" s="687"/>
    </row>
    <row r="106" spans="1:17" x14ac:dyDescent="0.25">
      <c r="A106" s="681" t="s">
        <v>2851</v>
      </c>
      <c r="B106" s="682"/>
      <c r="C106" s="682"/>
      <c r="D106" s="682"/>
      <c r="E106" s="682"/>
      <c r="F106" s="682"/>
      <c r="G106" s="682"/>
      <c r="H106" s="682"/>
      <c r="I106" s="682"/>
      <c r="J106" s="682"/>
      <c r="K106" s="682"/>
      <c r="L106" s="682"/>
      <c r="M106" s="692"/>
      <c r="N106" s="693"/>
      <c r="O106" s="693"/>
      <c r="P106" s="693"/>
      <c r="Q106" s="683"/>
    </row>
    <row r="107" spans="1:17" ht="45" x14ac:dyDescent="0.25">
      <c r="A107" s="684">
        <v>1</v>
      </c>
      <c r="B107" s="684">
        <v>15.05</v>
      </c>
      <c r="C107" s="685" t="s">
        <v>2852</v>
      </c>
      <c r="D107" s="686" t="s">
        <v>2853</v>
      </c>
      <c r="E107" s="686" t="s">
        <v>2854</v>
      </c>
      <c r="F107" s="685"/>
      <c r="G107" s="684" t="s">
        <v>49</v>
      </c>
      <c r="H107" s="684" t="s">
        <v>49</v>
      </c>
      <c r="I107" s="684" t="s">
        <v>49</v>
      </c>
      <c r="J107" s="684" t="s">
        <v>49</v>
      </c>
      <c r="K107" s="684" t="s">
        <v>49</v>
      </c>
      <c r="L107" s="687" t="s">
        <v>2817</v>
      </c>
      <c r="M107" s="684" t="s">
        <v>292</v>
      </c>
      <c r="N107" s="689"/>
      <c r="O107" s="688"/>
      <c r="P107" s="688">
        <v>25000000</v>
      </c>
      <c r="Q107" s="687" t="s">
        <v>2811</v>
      </c>
    </row>
    <row r="108" spans="1:17" ht="90" x14ac:dyDescent="0.25">
      <c r="A108" s="684">
        <v>2</v>
      </c>
      <c r="B108" s="684">
        <v>18.02</v>
      </c>
      <c r="C108" s="685" t="s">
        <v>2855</v>
      </c>
      <c r="D108" s="686" t="s">
        <v>2856</v>
      </c>
      <c r="E108" s="686" t="s">
        <v>2857</v>
      </c>
      <c r="F108" s="685"/>
      <c r="G108" s="684" t="s">
        <v>49</v>
      </c>
      <c r="H108" s="684" t="s">
        <v>49</v>
      </c>
      <c r="I108" s="684" t="s">
        <v>49</v>
      </c>
      <c r="J108" s="684" t="s">
        <v>49</v>
      </c>
      <c r="K108" s="684" t="s">
        <v>49</v>
      </c>
      <c r="L108" s="687" t="s">
        <v>2810</v>
      </c>
      <c r="M108" s="684" t="s">
        <v>281</v>
      </c>
      <c r="N108" s="688"/>
      <c r="O108" s="688">
        <v>1500000</v>
      </c>
      <c r="P108" s="689"/>
      <c r="Q108" s="687" t="s">
        <v>2846</v>
      </c>
    </row>
    <row r="109" spans="1:17" ht="90" x14ac:dyDescent="0.25">
      <c r="A109" s="684">
        <v>3</v>
      </c>
      <c r="B109" s="684">
        <v>18.02</v>
      </c>
      <c r="D109" s="686" t="s">
        <v>2858</v>
      </c>
      <c r="E109" s="686" t="s">
        <v>2857</v>
      </c>
      <c r="F109" s="685"/>
      <c r="G109" s="684" t="s">
        <v>49</v>
      </c>
      <c r="H109" s="684" t="s">
        <v>49</v>
      </c>
      <c r="I109" s="684" t="s">
        <v>49</v>
      </c>
      <c r="J109" s="684" t="s">
        <v>49</v>
      </c>
      <c r="K109" s="684" t="s">
        <v>49</v>
      </c>
      <c r="L109" s="687" t="s">
        <v>2810</v>
      </c>
      <c r="M109" s="684" t="s">
        <v>281</v>
      </c>
      <c r="N109" s="688"/>
      <c r="O109" s="688">
        <v>1500000</v>
      </c>
      <c r="P109" s="689"/>
      <c r="Q109" s="687" t="s">
        <v>2846</v>
      </c>
    </row>
    <row r="110" spans="1:17" ht="75" x14ac:dyDescent="0.25">
      <c r="A110" s="684">
        <v>4</v>
      </c>
      <c r="B110" s="684">
        <v>9.0299999999999994</v>
      </c>
      <c r="C110" s="685" t="s">
        <v>2859</v>
      </c>
      <c r="D110" s="686" t="s">
        <v>2860</v>
      </c>
      <c r="E110" s="686" t="s">
        <v>2861</v>
      </c>
      <c r="F110" s="685"/>
      <c r="G110" s="684" t="s">
        <v>49</v>
      </c>
      <c r="H110" s="684" t="s">
        <v>49</v>
      </c>
      <c r="I110" s="684" t="s">
        <v>49</v>
      </c>
      <c r="J110" s="684" t="s">
        <v>49</v>
      </c>
      <c r="K110" s="684" t="s">
        <v>49</v>
      </c>
      <c r="L110" s="687" t="s">
        <v>2830</v>
      </c>
      <c r="M110" s="684" t="s">
        <v>281</v>
      </c>
      <c r="N110" s="688"/>
      <c r="O110" s="688">
        <v>1500000</v>
      </c>
      <c r="P110" s="689"/>
      <c r="Q110" s="687" t="s">
        <v>1073</v>
      </c>
    </row>
    <row r="111" spans="1:17" ht="45" x14ac:dyDescent="0.25">
      <c r="A111" s="684">
        <v>5</v>
      </c>
      <c r="B111" s="684">
        <v>13.16</v>
      </c>
      <c r="C111" s="685"/>
      <c r="D111" s="686" t="s">
        <v>2862</v>
      </c>
      <c r="E111" s="686" t="s">
        <v>2863</v>
      </c>
      <c r="F111" s="685"/>
      <c r="G111" s="684" t="s">
        <v>49</v>
      </c>
      <c r="H111" s="684" t="s">
        <v>49</v>
      </c>
      <c r="I111" s="684" t="s">
        <v>49</v>
      </c>
      <c r="J111" s="684" t="s">
        <v>49</v>
      </c>
      <c r="K111" s="684" t="s">
        <v>49</v>
      </c>
      <c r="L111" s="685" t="s">
        <v>2821</v>
      </c>
      <c r="M111" s="684" t="s">
        <v>281</v>
      </c>
      <c r="N111" s="688"/>
      <c r="O111" s="688">
        <v>5000000</v>
      </c>
      <c r="P111" s="689"/>
      <c r="Q111" s="687" t="s">
        <v>200</v>
      </c>
    </row>
    <row r="112" spans="1:17" ht="60" x14ac:dyDescent="0.25">
      <c r="A112" s="684">
        <v>6</v>
      </c>
      <c r="B112" s="684">
        <v>23.04</v>
      </c>
      <c r="C112" s="685" t="s">
        <v>2864</v>
      </c>
      <c r="D112" s="686" t="s">
        <v>2865</v>
      </c>
      <c r="E112" s="686" t="s">
        <v>2866</v>
      </c>
      <c r="F112" s="685"/>
      <c r="G112" s="684" t="s">
        <v>49</v>
      </c>
      <c r="H112" s="684" t="s">
        <v>49</v>
      </c>
      <c r="I112" s="684" t="s">
        <v>49</v>
      </c>
      <c r="J112" s="684" t="s">
        <v>49</v>
      </c>
      <c r="K112" s="684" t="s">
        <v>49</v>
      </c>
      <c r="L112" s="687" t="s">
        <v>2817</v>
      </c>
      <c r="M112" s="684" t="s">
        <v>2842</v>
      </c>
      <c r="N112" s="688"/>
      <c r="O112" s="688">
        <v>1500000</v>
      </c>
      <c r="P112" s="689"/>
      <c r="Q112" s="687" t="s">
        <v>2867</v>
      </c>
    </row>
    <row r="113" spans="1:17" ht="60" x14ac:dyDescent="0.25">
      <c r="A113" s="684">
        <v>7</v>
      </c>
      <c r="B113" s="684">
        <v>23.04</v>
      </c>
      <c r="C113" s="685"/>
      <c r="D113" s="686" t="s">
        <v>2868</v>
      </c>
      <c r="E113" s="686" t="s">
        <v>2869</v>
      </c>
      <c r="F113" s="685"/>
      <c r="G113" s="684" t="s">
        <v>49</v>
      </c>
      <c r="H113" s="684" t="s">
        <v>49</v>
      </c>
      <c r="I113" s="684" t="s">
        <v>49</v>
      </c>
      <c r="J113" s="684" t="s">
        <v>49</v>
      </c>
      <c r="K113" s="684" t="s">
        <v>49</v>
      </c>
      <c r="L113" s="687" t="s">
        <v>2817</v>
      </c>
      <c r="M113" s="684" t="s">
        <v>2842</v>
      </c>
      <c r="N113" s="688"/>
      <c r="O113" s="688">
        <v>1500000</v>
      </c>
      <c r="P113" s="689"/>
      <c r="Q113" s="687" t="s">
        <v>2867</v>
      </c>
    </row>
    <row r="114" spans="1:17" ht="60" x14ac:dyDescent="0.25">
      <c r="A114" s="684">
        <v>8</v>
      </c>
      <c r="B114" s="684">
        <v>13.18</v>
      </c>
      <c r="C114" s="685"/>
      <c r="D114" s="686" t="s">
        <v>2870</v>
      </c>
      <c r="E114" s="686" t="s">
        <v>2871</v>
      </c>
      <c r="F114" s="685"/>
      <c r="G114" s="684" t="s">
        <v>49</v>
      </c>
      <c r="H114" s="684" t="s">
        <v>49</v>
      </c>
      <c r="I114" s="684" t="s">
        <v>49</v>
      </c>
      <c r="J114" s="684" t="s">
        <v>49</v>
      </c>
      <c r="K114" s="684" t="s">
        <v>49</v>
      </c>
      <c r="L114" s="687" t="s">
        <v>2817</v>
      </c>
      <c r="M114" s="684" t="s">
        <v>2842</v>
      </c>
      <c r="N114" s="688"/>
      <c r="O114" s="688">
        <v>1500000</v>
      </c>
      <c r="P114" s="689"/>
      <c r="Q114" s="687" t="s">
        <v>2872</v>
      </c>
    </row>
    <row r="115" spans="1:17" ht="120" x14ac:dyDescent="0.25">
      <c r="A115" s="684">
        <v>9</v>
      </c>
      <c r="B115" s="684">
        <v>13.19</v>
      </c>
      <c r="C115" s="685" t="s">
        <v>1169</v>
      </c>
      <c r="D115" s="686" t="s">
        <v>2873</v>
      </c>
      <c r="E115" s="686" t="s">
        <v>2874</v>
      </c>
      <c r="F115" s="685"/>
      <c r="G115" s="684" t="s">
        <v>49</v>
      </c>
      <c r="H115" s="684" t="s">
        <v>49</v>
      </c>
      <c r="I115" s="684" t="s">
        <v>49</v>
      </c>
      <c r="J115" s="684" t="s">
        <v>49</v>
      </c>
      <c r="K115" s="684" t="s">
        <v>49</v>
      </c>
      <c r="L115" s="687" t="s">
        <v>2817</v>
      </c>
      <c r="M115" s="684" t="s">
        <v>2814</v>
      </c>
      <c r="N115" s="688"/>
      <c r="O115" s="688">
        <v>1500000</v>
      </c>
      <c r="P115" s="689"/>
      <c r="Q115" s="687" t="s">
        <v>2846</v>
      </c>
    </row>
    <row r="116" spans="1:17" x14ac:dyDescent="0.25">
      <c r="A116" s="684"/>
      <c r="B116" s="684"/>
      <c r="C116" s="685"/>
      <c r="D116" s="686"/>
      <c r="E116" s="686"/>
      <c r="F116" s="685"/>
      <c r="G116" s="684"/>
      <c r="H116" s="684"/>
      <c r="I116" s="684"/>
      <c r="J116" s="684"/>
      <c r="K116" s="684"/>
      <c r="L116" s="687"/>
      <c r="M116" s="687"/>
      <c r="N116" s="688"/>
      <c r="O116" s="689"/>
      <c r="P116" s="689"/>
      <c r="Q116" s="687"/>
    </row>
    <row r="117" spans="1:17" x14ac:dyDescent="0.25">
      <c r="A117" s="681" t="s">
        <v>2875</v>
      </c>
      <c r="B117" s="682"/>
      <c r="C117" s="682"/>
      <c r="D117" s="682"/>
      <c r="E117" s="682"/>
      <c r="F117" s="682"/>
      <c r="G117" s="682"/>
      <c r="H117" s="682"/>
      <c r="I117" s="682"/>
      <c r="J117" s="682"/>
      <c r="K117" s="682"/>
      <c r="L117" s="682"/>
      <c r="M117" s="682"/>
      <c r="N117" s="693"/>
      <c r="O117" s="693"/>
      <c r="P117" s="693"/>
      <c r="Q117" s="683"/>
    </row>
    <row r="118" spans="1:17" ht="45" x14ac:dyDescent="0.25">
      <c r="A118" s="684">
        <v>1</v>
      </c>
      <c r="B118" s="684">
        <v>14.02</v>
      </c>
      <c r="C118" s="685" t="s">
        <v>2876</v>
      </c>
      <c r="D118" s="685" t="s">
        <v>2877</v>
      </c>
      <c r="E118" s="686" t="s">
        <v>2878</v>
      </c>
      <c r="F118" s="685"/>
      <c r="G118" s="684" t="s">
        <v>49</v>
      </c>
      <c r="H118" s="684" t="s">
        <v>49</v>
      </c>
      <c r="I118" s="684" t="s">
        <v>49</v>
      </c>
      <c r="J118" s="684" t="s">
        <v>49</v>
      </c>
      <c r="K118" s="684" t="s">
        <v>49</v>
      </c>
      <c r="L118" s="687" t="s">
        <v>2810</v>
      </c>
      <c r="M118" s="684" t="s">
        <v>2814</v>
      </c>
      <c r="N118" s="688"/>
      <c r="O118" s="688">
        <v>6000000</v>
      </c>
      <c r="P118" s="689"/>
      <c r="Q118" s="687" t="s">
        <v>2811</v>
      </c>
    </row>
    <row r="119" spans="1:17" ht="45" x14ac:dyDescent="0.25">
      <c r="A119" s="684">
        <v>2</v>
      </c>
      <c r="B119" s="684">
        <v>14.02</v>
      </c>
      <c r="C119" s="687"/>
      <c r="D119" s="685" t="s">
        <v>2879</v>
      </c>
      <c r="E119" s="686" t="s">
        <v>2878</v>
      </c>
      <c r="F119" s="685"/>
      <c r="G119" s="684" t="s">
        <v>49</v>
      </c>
      <c r="H119" s="684" t="s">
        <v>49</v>
      </c>
      <c r="I119" s="684" t="s">
        <v>49</v>
      </c>
      <c r="J119" s="684" t="s">
        <v>49</v>
      </c>
      <c r="K119" s="684" t="s">
        <v>49</v>
      </c>
      <c r="L119" s="687" t="s">
        <v>2810</v>
      </c>
      <c r="M119" s="684" t="s">
        <v>2814</v>
      </c>
      <c r="N119" s="688"/>
      <c r="O119" s="688">
        <v>6000000</v>
      </c>
      <c r="P119" s="689"/>
      <c r="Q119" s="687" t="s">
        <v>2811</v>
      </c>
    </row>
    <row r="120" spans="1:17" ht="45" x14ac:dyDescent="0.25">
      <c r="A120" s="684">
        <v>3</v>
      </c>
      <c r="B120" s="684">
        <v>14.02</v>
      </c>
      <c r="C120" s="685"/>
      <c r="D120" s="686" t="s">
        <v>2880</v>
      </c>
      <c r="E120" s="686" t="s">
        <v>2878</v>
      </c>
      <c r="F120" s="685"/>
      <c r="G120" s="684" t="s">
        <v>49</v>
      </c>
      <c r="H120" s="684" t="s">
        <v>49</v>
      </c>
      <c r="I120" s="684" t="s">
        <v>49</v>
      </c>
      <c r="J120" s="684" t="s">
        <v>49</v>
      </c>
      <c r="K120" s="684" t="s">
        <v>49</v>
      </c>
      <c r="L120" s="687" t="s">
        <v>2810</v>
      </c>
      <c r="M120" s="684" t="s">
        <v>2814</v>
      </c>
      <c r="N120" s="688"/>
      <c r="O120" s="688">
        <v>6000000</v>
      </c>
      <c r="P120" s="689"/>
      <c r="Q120" s="687" t="s">
        <v>2811</v>
      </c>
    </row>
    <row r="121" spans="1:17" ht="45" x14ac:dyDescent="0.25">
      <c r="A121" s="684">
        <v>4</v>
      </c>
      <c r="B121" s="684">
        <v>14.02</v>
      </c>
      <c r="C121" s="685"/>
      <c r="D121" s="686" t="s">
        <v>2881</v>
      </c>
      <c r="E121" s="686" t="s">
        <v>2878</v>
      </c>
      <c r="F121" s="686"/>
      <c r="G121" s="684" t="s">
        <v>49</v>
      </c>
      <c r="H121" s="684" t="s">
        <v>49</v>
      </c>
      <c r="I121" s="684" t="s">
        <v>49</v>
      </c>
      <c r="J121" s="684" t="s">
        <v>49</v>
      </c>
      <c r="K121" s="684" t="s">
        <v>49</v>
      </c>
      <c r="L121" s="687" t="s">
        <v>2810</v>
      </c>
      <c r="M121" s="684" t="s">
        <v>2814</v>
      </c>
      <c r="N121" s="688"/>
      <c r="O121" s="688">
        <v>6000000</v>
      </c>
      <c r="P121" s="689"/>
      <c r="Q121" s="687" t="s">
        <v>2811</v>
      </c>
    </row>
    <row r="122" spans="1:17" ht="18.75" customHeight="1" x14ac:dyDescent="0.25">
      <c r="A122" s="684">
        <v>5</v>
      </c>
      <c r="B122" s="684">
        <v>13.07</v>
      </c>
      <c r="C122" s="685" t="s">
        <v>1169</v>
      </c>
      <c r="D122" s="686" t="s">
        <v>2882</v>
      </c>
      <c r="E122" s="694" t="s">
        <v>2883</v>
      </c>
      <c r="F122" s="686"/>
      <c r="G122" s="684" t="s">
        <v>49</v>
      </c>
      <c r="H122" s="684" t="s">
        <v>49</v>
      </c>
      <c r="I122" s="684" t="s">
        <v>49</v>
      </c>
      <c r="J122" s="684" t="s">
        <v>49</v>
      </c>
      <c r="K122" s="684" t="s">
        <v>49</v>
      </c>
      <c r="L122" s="685" t="s">
        <v>2884</v>
      </c>
      <c r="M122" s="684" t="s">
        <v>281</v>
      </c>
      <c r="N122" s="688"/>
      <c r="O122" s="688">
        <v>3000000</v>
      </c>
      <c r="P122" s="689"/>
      <c r="Q122" s="687"/>
    </row>
    <row r="123" spans="1:17" ht="74.25" customHeight="1" x14ac:dyDescent="0.25">
      <c r="A123" s="684">
        <v>6</v>
      </c>
      <c r="B123" s="684">
        <v>7.06</v>
      </c>
      <c r="C123" s="685" t="s">
        <v>2885</v>
      </c>
      <c r="D123" s="686" t="s">
        <v>2886</v>
      </c>
      <c r="E123" s="686" t="s">
        <v>2887</v>
      </c>
      <c r="F123" s="686"/>
      <c r="G123" s="684" t="s">
        <v>49</v>
      </c>
      <c r="H123" s="684" t="s">
        <v>49</v>
      </c>
      <c r="I123" s="684" t="s">
        <v>49</v>
      </c>
      <c r="J123" s="684" t="s">
        <v>49</v>
      </c>
      <c r="K123" s="684" t="s">
        <v>49</v>
      </c>
      <c r="L123" s="687" t="s">
        <v>2830</v>
      </c>
      <c r="M123" s="684" t="s">
        <v>2842</v>
      </c>
      <c r="N123" s="688"/>
      <c r="O123" s="688">
        <v>6000000</v>
      </c>
      <c r="P123" s="689"/>
      <c r="Q123" s="687" t="s">
        <v>277</v>
      </c>
    </row>
    <row r="124" spans="1:17" ht="90" x14ac:dyDescent="0.25">
      <c r="A124" s="684">
        <v>7</v>
      </c>
      <c r="B124" s="684">
        <v>7.08</v>
      </c>
      <c r="C124" s="685"/>
      <c r="D124" s="686" t="s">
        <v>2888</v>
      </c>
      <c r="E124" s="686" t="s">
        <v>2889</v>
      </c>
      <c r="F124" s="686"/>
      <c r="G124" s="684" t="s">
        <v>49</v>
      </c>
      <c r="H124" s="684" t="s">
        <v>49</v>
      </c>
      <c r="I124" s="684" t="s">
        <v>49</v>
      </c>
      <c r="J124" s="684" t="s">
        <v>49</v>
      </c>
      <c r="K124" s="684" t="s">
        <v>49</v>
      </c>
      <c r="L124" s="687" t="s">
        <v>2830</v>
      </c>
      <c r="M124" s="684" t="s">
        <v>2842</v>
      </c>
      <c r="N124" s="688"/>
      <c r="O124" s="688">
        <v>6000000</v>
      </c>
      <c r="P124" s="689"/>
      <c r="Q124" s="687" t="s">
        <v>277</v>
      </c>
    </row>
    <row r="125" spans="1:17" ht="90" x14ac:dyDescent="0.25">
      <c r="A125" s="684">
        <v>8</v>
      </c>
      <c r="B125" s="684">
        <v>7.11</v>
      </c>
      <c r="C125" s="685"/>
      <c r="D125" s="686" t="s">
        <v>2890</v>
      </c>
      <c r="E125" s="686" t="s">
        <v>2891</v>
      </c>
      <c r="F125" s="686"/>
      <c r="G125" s="684" t="s">
        <v>49</v>
      </c>
      <c r="H125" s="684" t="s">
        <v>49</v>
      </c>
      <c r="I125" s="684" t="s">
        <v>49</v>
      </c>
      <c r="J125" s="684" t="s">
        <v>49</v>
      </c>
      <c r="K125" s="684" t="s">
        <v>49</v>
      </c>
      <c r="L125" s="687" t="s">
        <v>2830</v>
      </c>
      <c r="M125" s="684" t="s">
        <v>2842</v>
      </c>
      <c r="N125" s="688"/>
      <c r="O125" s="688">
        <v>6000000</v>
      </c>
      <c r="P125" s="689"/>
      <c r="Q125" s="687" t="s">
        <v>277</v>
      </c>
    </row>
    <row r="126" spans="1:17" ht="105" x14ac:dyDescent="0.25">
      <c r="A126" s="684">
        <v>9</v>
      </c>
      <c r="B126" s="684">
        <v>7.08</v>
      </c>
      <c r="C126" s="685"/>
      <c r="D126" s="686" t="s">
        <v>2892</v>
      </c>
      <c r="E126" s="686" t="s">
        <v>2893</v>
      </c>
      <c r="F126" s="686"/>
      <c r="G126" s="684" t="s">
        <v>49</v>
      </c>
      <c r="H126" s="684" t="s">
        <v>49</v>
      </c>
      <c r="I126" s="684" t="s">
        <v>49</v>
      </c>
      <c r="J126" s="684" t="s">
        <v>49</v>
      </c>
      <c r="K126" s="684" t="s">
        <v>49</v>
      </c>
      <c r="L126" s="687" t="s">
        <v>2830</v>
      </c>
      <c r="M126" s="684" t="s">
        <v>2842</v>
      </c>
      <c r="N126" s="688"/>
      <c r="O126" s="688">
        <v>6000000</v>
      </c>
      <c r="P126" s="689"/>
      <c r="Q126" s="687" t="s">
        <v>277</v>
      </c>
    </row>
    <row r="127" spans="1:17" ht="105" x14ac:dyDescent="0.25">
      <c r="A127" s="684">
        <v>10</v>
      </c>
      <c r="B127" s="684">
        <v>7.08</v>
      </c>
      <c r="C127" s="685"/>
      <c r="D127" s="686" t="s">
        <v>2894</v>
      </c>
      <c r="E127" s="686" t="s">
        <v>2895</v>
      </c>
      <c r="F127" s="686"/>
      <c r="G127" s="684" t="s">
        <v>49</v>
      </c>
      <c r="H127" s="684" t="s">
        <v>49</v>
      </c>
      <c r="I127" s="684" t="s">
        <v>49</v>
      </c>
      <c r="J127" s="684" t="s">
        <v>49</v>
      </c>
      <c r="K127" s="684" t="s">
        <v>49</v>
      </c>
      <c r="L127" s="687" t="s">
        <v>2830</v>
      </c>
      <c r="M127" s="684" t="s">
        <v>2842</v>
      </c>
      <c r="N127" s="688"/>
      <c r="O127" s="688">
        <v>6000000</v>
      </c>
      <c r="P127" s="689"/>
      <c r="Q127" s="687" t="s">
        <v>277</v>
      </c>
    </row>
    <row r="128" spans="1:17" ht="75" x14ac:dyDescent="0.25">
      <c r="A128" s="684">
        <v>11</v>
      </c>
      <c r="B128" s="684">
        <v>7.08</v>
      </c>
      <c r="C128" s="685"/>
      <c r="D128" s="686" t="s">
        <v>2896</v>
      </c>
      <c r="E128" s="686" t="s">
        <v>2897</v>
      </c>
      <c r="F128" s="686"/>
      <c r="G128" s="684" t="s">
        <v>49</v>
      </c>
      <c r="H128" s="684" t="s">
        <v>49</v>
      </c>
      <c r="I128" s="684" t="s">
        <v>49</v>
      </c>
      <c r="J128" s="684" t="s">
        <v>49</v>
      </c>
      <c r="K128" s="684" t="s">
        <v>49</v>
      </c>
      <c r="L128" s="687" t="s">
        <v>2830</v>
      </c>
      <c r="M128" s="684" t="s">
        <v>2842</v>
      </c>
      <c r="N128" s="688"/>
      <c r="O128" s="688">
        <v>6000000</v>
      </c>
      <c r="P128" s="689"/>
      <c r="Q128" s="687" t="s">
        <v>277</v>
      </c>
    </row>
    <row r="129" spans="1:19" ht="45" x14ac:dyDescent="0.25">
      <c r="A129" s="684">
        <v>12</v>
      </c>
      <c r="B129" s="684"/>
      <c r="C129" s="685"/>
      <c r="D129" s="686" t="s">
        <v>2898</v>
      </c>
      <c r="E129" s="686" t="s">
        <v>2899</v>
      </c>
      <c r="F129" s="686"/>
      <c r="G129" s="684" t="s">
        <v>49</v>
      </c>
      <c r="H129" s="684" t="s">
        <v>49</v>
      </c>
      <c r="I129" s="684" t="s">
        <v>49</v>
      </c>
      <c r="J129" s="684" t="s">
        <v>49</v>
      </c>
      <c r="K129" s="684" t="s">
        <v>49</v>
      </c>
      <c r="L129" s="687" t="s">
        <v>2830</v>
      </c>
      <c r="M129" s="684" t="s">
        <v>2814</v>
      </c>
      <c r="N129" s="688"/>
      <c r="O129" s="688">
        <v>6000000</v>
      </c>
      <c r="P129" s="689"/>
      <c r="Q129" s="687"/>
    </row>
    <row r="130" spans="1:19" ht="45" x14ac:dyDescent="0.25">
      <c r="A130" s="684">
        <v>13</v>
      </c>
      <c r="B130" s="684"/>
      <c r="C130" s="685" t="s">
        <v>2900</v>
      </c>
      <c r="D130" s="686" t="s">
        <v>2901</v>
      </c>
      <c r="E130" s="686" t="s">
        <v>2902</v>
      </c>
      <c r="F130" s="686"/>
      <c r="G130" s="684" t="s">
        <v>49</v>
      </c>
      <c r="H130" s="684" t="s">
        <v>49</v>
      </c>
      <c r="I130" s="684" t="s">
        <v>49</v>
      </c>
      <c r="J130" s="684" t="s">
        <v>49</v>
      </c>
      <c r="K130" s="684" t="s">
        <v>49</v>
      </c>
      <c r="L130" s="687" t="s">
        <v>2817</v>
      </c>
      <c r="M130" s="684" t="s">
        <v>214</v>
      </c>
      <c r="N130" s="688"/>
      <c r="O130" s="688">
        <v>6000000</v>
      </c>
      <c r="P130" s="688"/>
      <c r="Q130" s="687" t="s">
        <v>2811</v>
      </c>
    </row>
    <row r="131" spans="1:19" ht="75" x14ac:dyDescent="0.25">
      <c r="A131" s="684">
        <v>14</v>
      </c>
      <c r="B131" s="684"/>
      <c r="C131" s="685" t="s">
        <v>2903</v>
      </c>
      <c r="D131" s="686" t="s">
        <v>2904</v>
      </c>
      <c r="E131" s="686" t="s">
        <v>2905</v>
      </c>
      <c r="F131" s="686"/>
      <c r="G131" s="684" t="s">
        <v>49</v>
      </c>
      <c r="H131" s="684" t="s">
        <v>49</v>
      </c>
      <c r="I131" s="684" t="s">
        <v>49</v>
      </c>
      <c r="J131" s="684" t="s">
        <v>49</v>
      </c>
      <c r="K131" s="684" t="s">
        <v>49</v>
      </c>
      <c r="L131" s="685" t="s">
        <v>2903</v>
      </c>
      <c r="M131" s="684" t="s">
        <v>214</v>
      </c>
      <c r="N131" s="688"/>
      <c r="O131" s="688">
        <v>15000000</v>
      </c>
      <c r="P131" s="688"/>
      <c r="Q131" s="687" t="s">
        <v>2906</v>
      </c>
    </row>
    <row r="132" spans="1:19" ht="90" x14ac:dyDescent="0.25">
      <c r="A132" s="684">
        <v>15</v>
      </c>
      <c r="B132" s="684">
        <v>13.09</v>
      </c>
      <c r="C132" s="685" t="s">
        <v>2907</v>
      </c>
      <c r="D132" s="685" t="s">
        <v>2908</v>
      </c>
      <c r="E132" s="685" t="s">
        <v>2909</v>
      </c>
      <c r="F132" s="686"/>
      <c r="G132" s="684" t="s">
        <v>49</v>
      </c>
      <c r="H132" s="684" t="s">
        <v>49</v>
      </c>
      <c r="I132" s="684" t="s">
        <v>49</v>
      </c>
      <c r="J132" s="684" t="s">
        <v>49</v>
      </c>
      <c r="K132" s="684" t="s">
        <v>49</v>
      </c>
      <c r="L132" s="685" t="s">
        <v>2830</v>
      </c>
      <c r="M132" s="684" t="s">
        <v>2910</v>
      </c>
      <c r="N132" s="688"/>
      <c r="O132" s="688">
        <v>2000000</v>
      </c>
      <c r="P132" s="688"/>
      <c r="Q132" s="687" t="s">
        <v>641</v>
      </c>
    </row>
    <row r="133" spans="1:19" ht="15.75" x14ac:dyDescent="0.25">
      <c r="A133" s="868" t="s">
        <v>2671</v>
      </c>
      <c r="B133" s="868"/>
      <c r="C133" s="868"/>
      <c r="D133" s="868"/>
      <c r="E133" s="868"/>
      <c r="F133" s="868"/>
      <c r="G133" s="868"/>
      <c r="H133" s="868"/>
      <c r="I133" s="868"/>
      <c r="J133" s="868"/>
      <c r="K133" s="868"/>
      <c r="L133" s="868"/>
      <c r="M133" s="868"/>
      <c r="N133" s="688">
        <f>SUM(N90:N132)</f>
        <v>1500000</v>
      </c>
      <c r="O133" s="688">
        <f>SUM(O90:O132)</f>
        <v>238400000</v>
      </c>
      <c r="P133" s="688">
        <f>SUM(P90:P132)</f>
        <v>35000000</v>
      </c>
      <c r="Q133" s="687"/>
      <c r="R133" s="675">
        <f>N133</f>
        <v>1500000</v>
      </c>
      <c r="S133" s="675">
        <f>O133</f>
        <v>238400000</v>
      </c>
    </row>
    <row r="134" spans="1:19" x14ac:dyDescent="0.25">
      <c r="N134" s="675"/>
      <c r="O134" s="675"/>
    </row>
    <row r="135" spans="1:19" ht="21" x14ac:dyDescent="0.25">
      <c r="A135" s="679" t="s">
        <v>2911</v>
      </c>
      <c r="B135" s="679"/>
      <c r="C135" s="680"/>
      <c r="D135" s="680"/>
      <c r="E135" s="680"/>
      <c r="F135" s="680"/>
      <c r="G135" s="680"/>
      <c r="H135" s="680"/>
      <c r="I135" s="680"/>
      <c r="J135" s="680"/>
      <c r="K135" s="680"/>
      <c r="L135" s="680"/>
      <c r="M135" s="680"/>
      <c r="N135" s="680"/>
      <c r="O135" s="680"/>
      <c r="P135" s="680"/>
      <c r="Q135" s="680"/>
    </row>
    <row r="136" spans="1:19" x14ac:dyDescent="0.25">
      <c r="A136" s="618" t="s">
        <v>2598</v>
      </c>
      <c r="B136" s="618"/>
      <c r="C136" s="618" t="s">
        <v>2599</v>
      </c>
      <c r="D136" s="618" t="s">
        <v>2600</v>
      </c>
      <c r="E136" s="618" t="s">
        <v>2601</v>
      </c>
      <c r="F136" s="867" t="s">
        <v>2483</v>
      </c>
      <c r="G136" s="867"/>
      <c r="H136" s="867"/>
      <c r="I136" s="867"/>
      <c r="J136" s="867"/>
      <c r="K136" s="867"/>
      <c r="L136" s="618" t="s">
        <v>2602</v>
      </c>
      <c r="M136" s="618" t="s">
        <v>2603</v>
      </c>
      <c r="N136" s="867" t="s">
        <v>2604</v>
      </c>
      <c r="O136" s="867"/>
      <c r="P136" s="867"/>
      <c r="Q136" s="618" t="s">
        <v>2605</v>
      </c>
    </row>
    <row r="137" spans="1:19" x14ac:dyDescent="0.25">
      <c r="A137" s="619"/>
      <c r="B137" s="619"/>
      <c r="C137" s="619"/>
      <c r="D137" s="619"/>
      <c r="E137" s="619"/>
      <c r="F137" s="620" t="s">
        <v>2606</v>
      </c>
      <c r="G137" s="620" t="s">
        <v>11</v>
      </c>
      <c r="H137" s="620" t="s">
        <v>12</v>
      </c>
      <c r="I137" s="620" t="s">
        <v>13</v>
      </c>
      <c r="J137" s="620" t="s">
        <v>14</v>
      </c>
      <c r="K137" s="620" t="s">
        <v>15</v>
      </c>
      <c r="L137" s="621"/>
      <c r="M137" s="621"/>
      <c r="N137" s="620" t="s">
        <v>2488</v>
      </c>
      <c r="O137" s="620" t="s">
        <v>2607</v>
      </c>
      <c r="P137" s="620" t="s">
        <v>2608</v>
      </c>
      <c r="Q137" s="621"/>
    </row>
    <row r="138" spans="1:19" x14ac:dyDescent="0.25">
      <c r="A138" s="695">
        <v>1</v>
      </c>
      <c r="B138" s="695"/>
      <c r="C138" s="695">
        <v>2</v>
      </c>
      <c r="D138" s="695">
        <v>3</v>
      </c>
      <c r="E138" s="695">
        <v>4</v>
      </c>
      <c r="F138" s="695">
        <v>5</v>
      </c>
      <c r="G138" s="695">
        <v>6</v>
      </c>
      <c r="H138" s="695">
        <v>7</v>
      </c>
      <c r="I138" s="695">
        <v>8</v>
      </c>
      <c r="J138" s="695">
        <v>9</v>
      </c>
      <c r="K138" s="695">
        <v>10</v>
      </c>
      <c r="L138" s="695">
        <v>11</v>
      </c>
      <c r="M138" s="695">
        <v>12</v>
      </c>
      <c r="N138" s="695">
        <v>13</v>
      </c>
      <c r="O138" s="695">
        <v>14</v>
      </c>
      <c r="P138" s="695">
        <v>15</v>
      </c>
      <c r="Q138" s="695">
        <v>16</v>
      </c>
    </row>
    <row r="139" spans="1:19" x14ac:dyDescent="0.25">
      <c r="A139" s="696" t="s">
        <v>2912</v>
      </c>
      <c r="B139" s="696"/>
      <c r="C139" s="696"/>
      <c r="D139" s="696"/>
      <c r="E139" s="696"/>
      <c r="F139" s="696"/>
      <c r="G139" s="696"/>
      <c r="H139" s="696"/>
      <c r="I139" s="696"/>
      <c r="J139" s="696"/>
      <c r="K139" s="696"/>
      <c r="L139" s="696"/>
      <c r="M139" s="696"/>
      <c r="N139" s="696"/>
      <c r="O139" s="696"/>
      <c r="P139" s="696"/>
      <c r="Q139" s="664"/>
    </row>
    <row r="140" spans="1:19" ht="30" x14ac:dyDescent="0.25">
      <c r="A140" s="697">
        <v>1</v>
      </c>
      <c r="B140" s="697"/>
      <c r="C140" s="698" t="s">
        <v>2913</v>
      </c>
      <c r="D140" s="699" t="s">
        <v>2914</v>
      </c>
      <c r="E140" s="698" t="s">
        <v>2915</v>
      </c>
      <c r="F140" s="696" t="s">
        <v>1261</v>
      </c>
      <c r="G140" s="696"/>
      <c r="H140" s="696"/>
      <c r="I140" s="696"/>
      <c r="J140" s="696"/>
      <c r="K140" s="696"/>
      <c r="L140" s="700" t="s">
        <v>1377</v>
      </c>
      <c r="M140" s="701" t="s">
        <v>2916</v>
      </c>
      <c r="N140" s="702"/>
      <c r="O140" s="703"/>
      <c r="P140" s="696"/>
      <c r="Q140" s="696"/>
    </row>
    <row r="141" spans="1:19" ht="28.5" x14ac:dyDescent="0.25">
      <c r="A141" s="697"/>
      <c r="B141" s="697">
        <v>26.14</v>
      </c>
      <c r="C141" s="698"/>
      <c r="D141" s="699" t="s">
        <v>2917</v>
      </c>
      <c r="E141" s="699" t="s">
        <v>2918</v>
      </c>
      <c r="F141" s="696" t="s">
        <v>1261</v>
      </c>
      <c r="G141" s="696"/>
      <c r="H141" s="696"/>
      <c r="I141" s="696"/>
      <c r="J141" s="696"/>
      <c r="K141" s="696"/>
      <c r="L141" s="696" t="s">
        <v>1916</v>
      </c>
      <c r="M141" s="704" t="s">
        <v>2919</v>
      </c>
      <c r="N141" s="703"/>
      <c r="O141" s="703">
        <f>8*2500000</f>
        <v>20000000</v>
      </c>
      <c r="P141" s="696"/>
      <c r="Q141" s="700" t="s">
        <v>948</v>
      </c>
    </row>
    <row r="142" spans="1:19" x14ac:dyDescent="0.25">
      <c r="A142" s="697"/>
      <c r="B142" s="697"/>
      <c r="C142" s="698"/>
      <c r="D142" s="698" t="s">
        <v>2920</v>
      </c>
      <c r="E142" s="698" t="s">
        <v>2921</v>
      </c>
      <c r="F142" s="696" t="s">
        <v>1261</v>
      </c>
      <c r="G142" s="696"/>
      <c r="H142" s="696"/>
      <c r="I142" s="696"/>
      <c r="J142" s="696"/>
      <c r="K142" s="696"/>
      <c r="L142" s="696" t="s">
        <v>2922</v>
      </c>
      <c r="M142" s="704" t="s">
        <v>2916</v>
      </c>
      <c r="N142" s="702"/>
      <c r="O142" s="703">
        <v>1000000</v>
      </c>
      <c r="P142" s="696"/>
      <c r="Q142" s="696"/>
    </row>
    <row r="143" spans="1:19" x14ac:dyDescent="0.25">
      <c r="A143" s="697"/>
      <c r="B143" s="697">
        <v>26.14</v>
      </c>
      <c r="C143" s="698"/>
      <c r="D143" s="698" t="s">
        <v>2923</v>
      </c>
      <c r="E143" s="698" t="s">
        <v>2924</v>
      </c>
      <c r="F143" s="696" t="s">
        <v>1261</v>
      </c>
      <c r="G143" s="696"/>
      <c r="H143" s="696"/>
      <c r="I143" s="696"/>
      <c r="J143" s="696"/>
      <c r="K143" s="696"/>
      <c r="L143" s="696" t="s">
        <v>2925</v>
      </c>
      <c r="M143" s="704" t="s">
        <v>2926</v>
      </c>
      <c r="N143" s="702"/>
      <c r="O143" s="703">
        <f>6*2500000</f>
        <v>15000000</v>
      </c>
      <c r="P143" s="696"/>
      <c r="Q143" s="696"/>
    </row>
    <row r="144" spans="1:19" ht="30" x14ac:dyDescent="0.25">
      <c r="A144" s="697"/>
      <c r="B144" s="697"/>
      <c r="C144" s="698"/>
      <c r="D144" s="698" t="s">
        <v>2927</v>
      </c>
      <c r="E144" s="696" t="s">
        <v>2928</v>
      </c>
      <c r="F144" s="696" t="s">
        <v>1261</v>
      </c>
      <c r="G144" s="696"/>
      <c r="H144" s="696"/>
      <c r="I144" s="696"/>
      <c r="J144" s="696"/>
      <c r="K144" s="696"/>
      <c r="L144" s="696" t="s">
        <v>551</v>
      </c>
      <c r="M144" s="704" t="s">
        <v>2916</v>
      </c>
      <c r="N144" s="702"/>
      <c r="O144" s="703">
        <v>20000000</v>
      </c>
      <c r="P144" s="696"/>
      <c r="Q144" s="700" t="s">
        <v>200</v>
      </c>
    </row>
    <row r="145" spans="1:17" ht="30" x14ac:dyDescent="0.25">
      <c r="A145" s="697"/>
      <c r="B145" s="697"/>
      <c r="C145" s="698"/>
      <c r="D145" s="698" t="s">
        <v>2929</v>
      </c>
      <c r="E145" s="696" t="s">
        <v>2930</v>
      </c>
      <c r="F145" s="696" t="s">
        <v>1261</v>
      </c>
      <c r="G145" s="696"/>
      <c r="H145" s="696"/>
      <c r="I145" s="696"/>
      <c r="J145" s="696"/>
      <c r="K145" s="696"/>
      <c r="L145" s="696" t="s">
        <v>551</v>
      </c>
      <c r="M145" s="704" t="s">
        <v>917</v>
      </c>
      <c r="N145" s="702"/>
      <c r="O145" s="703">
        <v>5000000</v>
      </c>
      <c r="P145" s="696"/>
      <c r="Q145" s="696" t="s">
        <v>1073</v>
      </c>
    </row>
    <row r="146" spans="1:17" ht="30" x14ac:dyDescent="0.25">
      <c r="A146" s="697"/>
      <c r="B146" s="697">
        <v>26.08</v>
      </c>
      <c r="C146" s="698"/>
      <c r="D146" s="699" t="s">
        <v>2931</v>
      </c>
      <c r="E146" s="698" t="s">
        <v>2932</v>
      </c>
      <c r="F146" s="696" t="s">
        <v>1261</v>
      </c>
      <c r="G146" s="696"/>
      <c r="H146" s="696"/>
      <c r="I146" s="696"/>
      <c r="J146" s="696"/>
      <c r="K146" s="696"/>
      <c r="L146" s="696" t="s">
        <v>2933</v>
      </c>
      <c r="M146" s="701" t="s">
        <v>292</v>
      </c>
      <c r="N146" s="702"/>
      <c r="O146" s="703">
        <v>25000000</v>
      </c>
      <c r="P146" s="696"/>
      <c r="Q146" s="696" t="s">
        <v>1073</v>
      </c>
    </row>
    <row r="147" spans="1:17" x14ac:dyDescent="0.25">
      <c r="A147" s="697"/>
      <c r="B147" s="697"/>
      <c r="C147" s="698"/>
      <c r="D147" s="698" t="s">
        <v>2934</v>
      </c>
      <c r="E147" s="696" t="s">
        <v>2924</v>
      </c>
      <c r="F147" s="696" t="s">
        <v>1261</v>
      </c>
      <c r="G147" s="696"/>
      <c r="H147" s="696"/>
      <c r="I147" s="696"/>
      <c r="J147" s="696"/>
      <c r="K147" s="696"/>
      <c r="L147" s="696" t="s">
        <v>2935</v>
      </c>
      <c r="M147" s="704" t="s">
        <v>1031</v>
      </c>
      <c r="N147" s="703">
        <f>5*1500000</f>
        <v>7500000</v>
      </c>
      <c r="O147" s="703"/>
      <c r="P147" s="696"/>
      <c r="Q147" s="696"/>
    </row>
    <row r="148" spans="1:17" x14ac:dyDescent="0.25">
      <c r="A148" s="697"/>
      <c r="B148" s="697"/>
      <c r="C148" s="698"/>
      <c r="D148" s="698" t="s">
        <v>2936</v>
      </c>
      <c r="E148" s="696" t="s">
        <v>2924</v>
      </c>
      <c r="F148" s="696" t="s">
        <v>1261</v>
      </c>
      <c r="G148" s="696"/>
      <c r="H148" s="696"/>
      <c r="I148" s="696"/>
      <c r="J148" s="696"/>
      <c r="K148" s="696"/>
      <c r="L148" s="696" t="s">
        <v>307</v>
      </c>
      <c r="M148" s="704" t="s">
        <v>455</v>
      </c>
      <c r="N148" s="703">
        <v>1500000</v>
      </c>
      <c r="O148" s="703"/>
      <c r="P148" s="696"/>
      <c r="Q148" s="696"/>
    </row>
    <row r="149" spans="1:17" ht="28.5" x14ac:dyDescent="0.25">
      <c r="A149" s="697"/>
      <c r="B149" s="697"/>
      <c r="C149" s="698"/>
      <c r="D149" s="699" t="s">
        <v>2937</v>
      </c>
      <c r="E149" s="696" t="s">
        <v>2938</v>
      </c>
      <c r="F149" s="696" t="s">
        <v>1261</v>
      </c>
      <c r="G149" s="696"/>
      <c r="H149" s="696"/>
      <c r="I149" s="696"/>
      <c r="J149" s="696"/>
      <c r="K149" s="696"/>
      <c r="L149" s="696" t="s">
        <v>551</v>
      </c>
      <c r="M149" s="704" t="s">
        <v>2939</v>
      </c>
      <c r="N149" s="702"/>
      <c r="O149" s="703">
        <f>25000*100</f>
        <v>2500000</v>
      </c>
      <c r="P149" s="696"/>
      <c r="Q149" s="700" t="s">
        <v>200</v>
      </c>
    </row>
    <row r="150" spans="1:17" x14ac:dyDescent="0.25">
      <c r="A150" s="697"/>
      <c r="B150" s="665">
        <v>26.05</v>
      </c>
      <c r="C150" s="698"/>
      <c r="D150" s="698" t="s">
        <v>2766</v>
      </c>
      <c r="E150" s="696" t="s">
        <v>2924</v>
      </c>
      <c r="F150" s="696" t="s">
        <v>1261</v>
      </c>
      <c r="G150" s="696"/>
      <c r="H150" s="696"/>
      <c r="I150" s="696"/>
      <c r="J150" s="696"/>
      <c r="K150" s="696"/>
      <c r="L150" s="696" t="s">
        <v>551</v>
      </c>
      <c r="M150" s="704" t="s">
        <v>2940</v>
      </c>
      <c r="N150" s="702"/>
      <c r="O150" s="705">
        <f>2*2400000</f>
        <v>4800000</v>
      </c>
      <c r="P150" s="696"/>
      <c r="Q150" s="700" t="s">
        <v>2768</v>
      </c>
    </row>
    <row r="151" spans="1:17" x14ac:dyDescent="0.25">
      <c r="A151" s="697"/>
      <c r="B151" s="697"/>
      <c r="C151" s="698"/>
      <c r="D151" s="698" t="s">
        <v>2941</v>
      </c>
      <c r="E151" s="696" t="s">
        <v>2942</v>
      </c>
      <c r="F151" s="696" t="s">
        <v>1261</v>
      </c>
      <c r="G151" s="696"/>
      <c r="H151" s="696"/>
      <c r="I151" s="696"/>
      <c r="J151" s="696"/>
      <c r="K151" s="696"/>
      <c r="L151" s="696" t="s">
        <v>2925</v>
      </c>
      <c r="M151" s="704" t="s">
        <v>2943</v>
      </c>
      <c r="N151" s="702"/>
      <c r="O151" s="703">
        <f>10*3000000</f>
        <v>30000000</v>
      </c>
      <c r="P151" s="696"/>
      <c r="Q151" s="696" t="s">
        <v>1073</v>
      </c>
    </row>
    <row r="152" spans="1:17" s="713" customFormat="1" ht="45" x14ac:dyDescent="0.25">
      <c r="A152" s="706"/>
      <c r="B152" s="706"/>
      <c r="C152" s="707"/>
      <c r="D152" s="707" t="s">
        <v>2944</v>
      </c>
      <c r="E152" s="707" t="s">
        <v>2945</v>
      </c>
      <c r="F152" s="708" t="s">
        <v>1261</v>
      </c>
      <c r="G152" s="708"/>
      <c r="H152" s="708"/>
      <c r="I152" s="708"/>
      <c r="J152" s="708"/>
      <c r="K152" s="708"/>
      <c r="L152" s="708" t="s">
        <v>551</v>
      </c>
      <c r="M152" s="709" t="s">
        <v>2916</v>
      </c>
      <c r="N152" s="710"/>
      <c r="O152" s="711">
        <v>15000000</v>
      </c>
      <c r="P152" s="708"/>
      <c r="Q152" s="712" t="s">
        <v>200</v>
      </c>
    </row>
    <row r="153" spans="1:17" x14ac:dyDescent="0.25">
      <c r="A153" s="697">
        <v>2</v>
      </c>
      <c r="B153" s="697"/>
      <c r="C153" s="698" t="s">
        <v>2946</v>
      </c>
      <c r="D153" s="698" t="s">
        <v>1062</v>
      </c>
      <c r="E153" s="696"/>
      <c r="F153" s="696" t="s">
        <v>1261</v>
      </c>
      <c r="G153" s="696"/>
      <c r="H153" s="696"/>
      <c r="I153" s="696"/>
      <c r="J153" s="696"/>
      <c r="K153" s="696"/>
      <c r="L153" s="696" t="s">
        <v>1916</v>
      </c>
      <c r="M153" s="704" t="s">
        <v>2947</v>
      </c>
      <c r="N153" s="702"/>
      <c r="O153" s="703">
        <f>85*400000</f>
        <v>34000000</v>
      </c>
      <c r="P153" s="696"/>
      <c r="Q153" s="696" t="s">
        <v>200</v>
      </c>
    </row>
    <row r="154" spans="1:17" x14ac:dyDescent="0.25">
      <c r="A154" s="697"/>
      <c r="B154" s="645">
        <v>26.1</v>
      </c>
      <c r="C154" s="698"/>
      <c r="D154" s="698" t="s">
        <v>2948</v>
      </c>
      <c r="E154" s="696" t="s">
        <v>2949</v>
      </c>
      <c r="F154" s="696" t="s">
        <v>1261</v>
      </c>
      <c r="G154" s="696"/>
      <c r="H154" s="696"/>
      <c r="I154" s="696"/>
      <c r="J154" s="696"/>
      <c r="K154" s="696"/>
      <c r="L154" s="696" t="s">
        <v>1916</v>
      </c>
      <c r="M154" s="704" t="s">
        <v>2950</v>
      </c>
      <c r="N154" s="702"/>
      <c r="O154" s="703">
        <f>350*70000</f>
        <v>24500000</v>
      </c>
      <c r="P154" s="696"/>
      <c r="Q154" s="696" t="s">
        <v>200</v>
      </c>
    </row>
    <row r="155" spans="1:17" x14ac:dyDescent="0.25">
      <c r="A155" s="697"/>
      <c r="B155" s="645">
        <v>26.1</v>
      </c>
      <c r="C155" s="698"/>
      <c r="D155" s="698" t="s">
        <v>2948</v>
      </c>
      <c r="E155" s="696" t="s">
        <v>2949</v>
      </c>
      <c r="F155" s="696" t="s">
        <v>1261</v>
      </c>
      <c r="G155" s="696"/>
      <c r="H155" s="696"/>
      <c r="I155" s="696"/>
      <c r="J155" s="696"/>
      <c r="K155" s="696"/>
      <c r="L155" s="696" t="s">
        <v>2951</v>
      </c>
      <c r="M155" s="704" t="s">
        <v>2952</v>
      </c>
      <c r="N155" s="702"/>
      <c r="O155" s="703">
        <f>1200*70000</f>
        <v>84000000</v>
      </c>
      <c r="P155" s="696"/>
      <c r="Q155" s="696" t="s">
        <v>200</v>
      </c>
    </row>
    <row r="156" spans="1:17" x14ac:dyDescent="0.25">
      <c r="A156" s="697"/>
      <c r="B156" s="645">
        <v>26.1</v>
      </c>
      <c r="C156" s="698"/>
      <c r="D156" s="698" t="s">
        <v>1766</v>
      </c>
      <c r="E156" s="696" t="s">
        <v>2949</v>
      </c>
      <c r="F156" s="696" t="s">
        <v>1261</v>
      </c>
      <c r="G156" s="696"/>
      <c r="H156" s="696"/>
      <c r="I156" s="696"/>
      <c r="J156" s="696"/>
      <c r="K156" s="696"/>
      <c r="L156" s="696" t="s">
        <v>551</v>
      </c>
      <c r="M156" s="704" t="s">
        <v>2953</v>
      </c>
      <c r="N156" s="702"/>
      <c r="O156" s="703">
        <f>200*70000</f>
        <v>14000000</v>
      </c>
      <c r="P156" s="696"/>
      <c r="Q156" s="696" t="s">
        <v>200</v>
      </c>
    </row>
    <row r="157" spans="1:17" x14ac:dyDescent="0.25">
      <c r="A157" s="697"/>
      <c r="B157" s="645">
        <v>26.1</v>
      </c>
      <c r="C157" s="698"/>
      <c r="D157" s="698" t="s">
        <v>2948</v>
      </c>
      <c r="E157" s="696" t="s">
        <v>2949</v>
      </c>
      <c r="F157" s="696" t="s">
        <v>1261</v>
      </c>
      <c r="G157" s="696"/>
      <c r="H157" s="696"/>
      <c r="I157" s="696"/>
      <c r="J157" s="696"/>
      <c r="K157" s="696"/>
      <c r="L157" s="696" t="s">
        <v>2954</v>
      </c>
      <c r="M157" s="704" t="s">
        <v>397</v>
      </c>
      <c r="N157" s="702"/>
      <c r="O157" s="703">
        <f>300*70000</f>
        <v>21000000</v>
      </c>
      <c r="P157" s="696"/>
      <c r="Q157" s="696" t="s">
        <v>200</v>
      </c>
    </row>
    <row r="158" spans="1:17" x14ac:dyDescent="0.25">
      <c r="A158" s="697"/>
      <c r="B158" s="645">
        <v>26.1</v>
      </c>
      <c r="C158" s="698"/>
      <c r="D158" s="699" t="s">
        <v>2948</v>
      </c>
      <c r="E158" s="696" t="s">
        <v>2949</v>
      </c>
      <c r="F158" s="696" t="s">
        <v>1261</v>
      </c>
      <c r="G158" s="696"/>
      <c r="H158" s="696"/>
      <c r="I158" s="696"/>
      <c r="J158" s="696"/>
      <c r="K158" s="696"/>
      <c r="L158" s="696" t="s">
        <v>2954</v>
      </c>
      <c r="M158" s="704" t="s">
        <v>2953</v>
      </c>
      <c r="N158" s="702"/>
      <c r="O158" s="703">
        <f>200*70000</f>
        <v>14000000</v>
      </c>
      <c r="P158" s="696"/>
      <c r="Q158" s="696" t="s">
        <v>200</v>
      </c>
    </row>
    <row r="159" spans="1:17" x14ac:dyDescent="0.25">
      <c r="A159" s="697"/>
      <c r="B159" s="645">
        <v>26.13</v>
      </c>
      <c r="C159" s="698"/>
      <c r="D159" s="698" t="s">
        <v>2955</v>
      </c>
      <c r="E159" s="696" t="s">
        <v>2956</v>
      </c>
      <c r="F159" s="696" t="s">
        <v>1261</v>
      </c>
      <c r="G159" s="696"/>
      <c r="H159" s="696"/>
      <c r="I159" s="696"/>
      <c r="J159" s="696"/>
      <c r="K159" s="696"/>
      <c r="L159" s="696" t="s">
        <v>551</v>
      </c>
      <c r="M159" s="704" t="s">
        <v>509</v>
      </c>
      <c r="N159" s="702"/>
      <c r="O159" s="703">
        <f>50*200000</f>
        <v>10000000</v>
      </c>
      <c r="P159" s="696"/>
      <c r="Q159" s="696" t="s">
        <v>200</v>
      </c>
    </row>
    <row r="160" spans="1:17" x14ac:dyDescent="0.25">
      <c r="A160" s="697"/>
      <c r="B160" s="645"/>
      <c r="C160" s="698"/>
      <c r="D160" s="698" t="s">
        <v>2957</v>
      </c>
      <c r="E160" s="696" t="s">
        <v>2956</v>
      </c>
      <c r="F160" s="696" t="s">
        <v>1261</v>
      </c>
      <c r="G160" s="696"/>
      <c r="H160" s="696"/>
      <c r="I160" s="696"/>
      <c r="J160" s="696"/>
      <c r="K160" s="696"/>
      <c r="L160" s="696" t="s">
        <v>1916</v>
      </c>
      <c r="M160" s="701">
        <f>160*5</f>
        <v>800</v>
      </c>
      <c r="N160" s="702"/>
      <c r="O160" s="703">
        <f>800*100000</f>
        <v>80000000</v>
      </c>
      <c r="P160" s="696"/>
      <c r="Q160" s="696" t="s">
        <v>200</v>
      </c>
    </row>
    <row r="161" spans="1:17" x14ac:dyDescent="0.25">
      <c r="A161" s="697"/>
      <c r="B161" s="645"/>
      <c r="C161" s="698"/>
      <c r="D161" s="698" t="s">
        <v>2957</v>
      </c>
      <c r="E161" s="696" t="s">
        <v>2956</v>
      </c>
      <c r="F161" s="696" t="s">
        <v>1261</v>
      </c>
      <c r="G161" s="696"/>
      <c r="H161" s="696"/>
      <c r="I161" s="696"/>
      <c r="J161" s="696"/>
      <c r="K161" s="696"/>
      <c r="L161" s="696" t="s">
        <v>2954</v>
      </c>
      <c r="M161" s="704" t="s">
        <v>2958</v>
      </c>
      <c r="N161" s="702"/>
      <c r="O161" s="703">
        <f>800*100000</f>
        <v>80000000</v>
      </c>
      <c r="P161" s="696"/>
      <c r="Q161" s="696" t="s">
        <v>200</v>
      </c>
    </row>
    <row r="162" spans="1:17" x14ac:dyDescent="0.25">
      <c r="A162" s="697"/>
      <c r="B162" s="645"/>
      <c r="C162" s="698"/>
      <c r="D162" s="698" t="s">
        <v>2959</v>
      </c>
      <c r="E162" s="696" t="s">
        <v>2956</v>
      </c>
      <c r="F162" s="696" t="s">
        <v>1261</v>
      </c>
      <c r="G162" s="696"/>
      <c r="H162" s="696"/>
      <c r="I162" s="696"/>
      <c r="J162" s="696"/>
      <c r="K162" s="696"/>
      <c r="L162" s="696" t="s">
        <v>2954</v>
      </c>
      <c r="M162" s="704" t="s">
        <v>2960</v>
      </c>
      <c r="N162" s="702"/>
      <c r="O162" s="703">
        <f>150*100000</f>
        <v>15000000</v>
      </c>
      <c r="P162" s="696"/>
      <c r="Q162" s="696" t="s">
        <v>200</v>
      </c>
    </row>
    <row r="163" spans="1:17" x14ac:dyDescent="0.25">
      <c r="A163" s="697"/>
      <c r="B163" s="645"/>
      <c r="C163" s="698"/>
      <c r="D163" s="699" t="s">
        <v>1811</v>
      </c>
      <c r="E163" s="696"/>
      <c r="F163" s="696"/>
      <c r="G163" s="696"/>
      <c r="H163" s="696"/>
      <c r="I163" s="696"/>
      <c r="J163" s="696"/>
      <c r="K163" s="696"/>
      <c r="L163" s="696" t="s">
        <v>2961</v>
      </c>
      <c r="M163" s="701" t="s">
        <v>1566</v>
      </c>
      <c r="N163" s="703">
        <f>10*3000000</f>
        <v>30000000</v>
      </c>
      <c r="O163" s="703"/>
      <c r="P163" s="696"/>
      <c r="Q163" s="696"/>
    </row>
    <row r="164" spans="1:17" ht="45" x14ac:dyDescent="0.25">
      <c r="A164" s="697">
        <v>3</v>
      </c>
      <c r="B164" s="697"/>
      <c r="C164" s="698" t="s">
        <v>2962</v>
      </c>
      <c r="D164" s="698" t="s">
        <v>2963</v>
      </c>
      <c r="E164" s="698" t="s">
        <v>2964</v>
      </c>
      <c r="F164" s="696" t="s">
        <v>1282</v>
      </c>
      <c r="G164" s="696"/>
      <c r="H164" s="696"/>
      <c r="I164" s="696"/>
      <c r="J164" s="696"/>
      <c r="K164" s="696"/>
      <c r="L164" s="698" t="s">
        <v>2965</v>
      </c>
      <c r="M164" s="704" t="s">
        <v>2966</v>
      </c>
      <c r="N164" s="714">
        <v>5000000</v>
      </c>
      <c r="O164" s="703"/>
      <c r="P164" s="696"/>
      <c r="Q164" s="700"/>
    </row>
    <row r="165" spans="1:17" ht="60" x14ac:dyDescent="0.25">
      <c r="A165" s="697"/>
      <c r="B165" s="697"/>
      <c r="C165" s="698"/>
      <c r="D165" s="698" t="s">
        <v>2967</v>
      </c>
      <c r="E165" s="698" t="s">
        <v>2968</v>
      </c>
      <c r="F165" s="696" t="s">
        <v>1282</v>
      </c>
      <c r="G165" s="696"/>
      <c r="H165" s="696"/>
      <c r="I165" s="696"/>
      <c r="J165" s="696"/>
      <c r="K165" s="696"/>
      <c r="L165" s="696" t="s">
        <v>2965</v>
      </c>
      <c r="M165" s="704" t="s">
        <v>2966</v>
      </c>
      <c r="N165" s="714">
        <v>5000000</v>
      </c>
      <c r="O165" s="703"/>
      <c r="P165" s="696"/>
      <c r="Q165" s="700"/>
    </row>
    <row r="166" spans="1:17" ht="45" x14ac:dyDescent="0.25">
      <c r="A166" s="697"/>
      <c r="B166" s="697"/>
      <c r="C166" s="698"/>
      <c r="D166" s="698" t="s">
        <v>2969</v>
      </c>
      <c r="E166" s="698" t="s">
        <v>2970</v>
      </c>
      <c r="F166" s="696" t="s">
        <v>1282</v>
      </c>
      <c r="G166" s="696"/>
      <c r="H166" s="696"/>
      <c r="I166" s="696"/>
      <c r="J166" s="696"/>
      <c r="K166" s="696"/>
      <c r="L166" s="696" t="s">
        <v>2971</v>
      </c>
      <c r="M166" s="704" t="s">
        <v>2966</v>
      </c>
      <c r="N166" s="702"/>
      <c r="O166" s="703">
        <f>40*20000+(500000)</f>
        <v>1300000</v>
      </c>
      <c r="P166" s="696"/>
      <c r="Q166" s="700" t="s">
        <v>2972</v>
      </c>
    </row>
    <row r="167" spans="1:17" ht="30" x14ac:dyDescent="0.25">
      <c r="A167" s="697"/>
      <c r="B167" s="697"/>
      <c r="C167" s="696"/>
      <c r="D167" s="696" t="s">
        <v>2973</v>
      </c>
      <c r="E167" s="698" t="s">
        <v>2974</v>
      </c>
      <c r="F167" s="696" t="s">
        <v>1282</v>
      </c>
      <c r="G167" s="696"/>
      <c r="H167" s="696"/>
      <c r="I167" s="696"/>
      <c r="J167" s="696"/>
      <c r="K167" s="696"/>
      <c r="L167" s="696" t="s">
        <v>2971</v>
      </c>
      <c r="M167" s="645" t="s">
        <v>2975</v>
      </c>
      <c r="N167" s="702"/>
      <c r="O167" s="703">
        <f>40*20000+(500000)</f>
        <v>1300000</v>
      </c>
      <c r="P167" s="696"/>
      <c r="Q167" s="700" t="s">
        <v>2872</v>
      </c>
    </row>
    <row r="168" spans="1:17" ht="30" x14ac:dyDescent="0.25">
      <c r="A168" s="697">
        <v>6</v>
      </c>
      <c r="B168" s="697"/>
      <c r="C168" s="698" t="s">
        <v>2976</v>
      </c>
      <c r="D168" s="698" t="s">
        <v>929</v>
      </c>
      <c r="E168" s="698" t="s">
        <v>1121</v>
      </c>
      <c r="F168" s="696" t="s">
        <v>1282</v>
      </c>
      <c r="G168" s="696"/>
      <c r="H168" s="696"/>
      <c r="I168" s="696"/>
      <c r="J168" s="696"/>
      <c r="K168" s="696"/>
      <c r="L168" s="696"/>
      <c r="M168" s="704" t="s">
        <v>2966</v>
      </c>
      <c r="N168" s="702"/>
      <c r="O168" s="703">
        <f>40*20000+(500000)</f>
        <v>1300000</v>
      </c>
      <c r="P168" s="696"/>
      <c r="Q168" s="700" t="s">
        <v>2872</v>
      </c>
    </row>
    <row r="169" spans="1:17" x14ac:dyDescent="0.25">
      <c r="A169" s="696" t="s">
        <v>2977</v>
      </c>
      <c r="B169" s="696"/>
      <c r="C169" s="664"/>
      <c r="D169" s="696"/>
      <c r="E169" s="696"/>
      <c r="F169" s="696"/>
      <c r="G169" s="696"/>
      <c r="H169" s="696"/>
      <c r="I169" s="696"/>
      <c r="J169" s="696"/>
      <c r="K169" s="696"/>
      <c r="L169" s="696"/>
      <c r="M169" s="696"/>
      <c r="N169" s="696"/>
      <c r="O169" s="703"/>
      <c r="P169" s="696"/>
      <c r="Q169" s="696"/>
    </row>
    <row r="170" spans="1:17" ht="105" x14ac:dyDescent="0.25">
      <c r="A170" s="697">
        <v>7</v>
      </c>
      <c r="B170" s="697"/>
      <c r="C170" s="696" t="s">
        <v>2978</v>
      </c>
      <c r="D170" s="698" t="s">
        <v>2979</v>
      </c>
      <c r="E170" s="698" t="s">
        <v>2980</v>
      </c>
      <c r="F170" s="696" t="s">
        <v>1261</v>
      </c>
      <c r="G170" s="696"/>
      <c r="H170" s="696"/>
      <c r="I170" s="696"/>
      <c r="J170" s="696"/>
      <c r="K170" s="696"/>
      <c r="L170" s="698" t="s">
        <v>2981</v>
      </c>
      <c r="M170" s="715" t="s">
        <v>2982</v>
      </c>
      <c r="N170" s="702"/>
      <c r="O170" s="714">
        <v>21000000</v>
      </c>
      <c r="P170" s="696"/>
      <c r="Q170" s="699" t="s">
        <v>2983</v>
      </c>
    </row>
    <row r="171" spans="1:17" ht="30" x14ac:dyDescent="0.25">
      <c r="A171" s="696"/>
      <c r="B171" s="696"/>
      <c r="C171" s="696"/>
      <c r="D171" s="698" t="s">
        <v>2984</v>
      </c>
      <c r="E171" s="698" t="s">
        <v>2985</v>
      </c>
      <c r="F171" s="696" t="s">
        <v>1261</v>
      </c>
      <c r="G171" s="696"/>
      <c r="H171" s="696"/>
      <c r="I171" s="696"/>
      <c r="J171" s="696"/>
      <c r="K171" s="696"/>
      <c r="L171" s="698" t="s">
        <v>2986</v>
      </c>
      <c r="M171" s="716" t="s">
        <v>2987</v>
      </c>
      <c r="N171" s="702"/>
      <c r="O171" s="714">
        <v>30000000</v>
      </c>
      <c r="P171" s="696"/>
      <c r="Q171" s="698" t="s">
        <v>2983</v>
      </c>
    </row>
    <row r="172" spans="1:17" ht="30" x14ac:dyDescent="0.25">
      <c r="A172" s="696"/>
      <c r="B172" s="696"/>
      <c r="C172" s="696"/>
      <c r="D172" s="698" t="s">
        <v>2988</v>
      </c>
      <c r="E172" s="698" t="s">
        <v>2989</v>
      </c>
      <c r="F172" s="696" t="s">
        <v>2990</v>
      </c>
      <c r="G172" s="696"/>
      <c r="H172" s="696"/>
      <c r="I172" s="696"/>
      <c r="J172" s="696"/>
      <c r="K172" s="696"/>
      <c r="L172" s="696" t="s">
        <v>2991</v>
      </c>
      <c r="M172" s="715" t="s">
        <v>2992</v>
      </c>
      <c r="N172" s="702"/>
      <c r="O172" s="703">
        <f>40*20000+(500000)</f>
        <v>1300000</v>
      </c>
      <c r="P172" s="696"/>
      <c r="Q172" s="698" t="s">
        <v>2983</v>
      </c>
    </row>
    <row r="173" spans="1:17" ht="30" x14ac:dyDescent="0.25">
      <c r="A173" s="696"/>
      <c r="B173" s="696"/>
      <c r="C173" s="696"/>
      <c r="D173" s="698" t="s">
        <v>2993</v>
      </c>
      <c r="E173" s="696" t="s">
        <v>2994</v>
      </c>
      <c r="F173" s="696" t="s">
        <v>2995</v>
      </c>
      <c r="G173" s="696"/>
      <c r="H173" s="696"/>
      <c r="I173" s="696"/>
      <c r="J173" s="696"/>
      <c r="K173" s="696"/>
      <c r="L173" s="696" t="s">
        <v>2996</v>
      </c>
      <c r="M173" s="715" t="s">
        <v>2992</v>
      </c>
      <c r="N173" s="702"/>
      <c r="O173" s="703">
        <f>40*20000+(500000)</f>
        <v>1300000</v>
      </c>
      <c r="P173" s="696"/>
      <c r="Q173" s="698" t="s">
        <v>2983</v>
      </c>
    </row>
    <row r="174" spans="1:17" ht="45" x14ac:dyDescent="0.25">
      <c r="A174" s="696"/>
      <c r="B174" s="696"/>
      <c r="C174" s="696"/>
      <c r="D174" s="699" t="s">
        <v>2997</v>
      </c>
      <c r="E174" s="698" t="s">
        <v>2998</v>
      </c>
      <c r="F174" s="696" t="s">
        <v>2999</v>
      </c>
      <c r="G174" s="696"/>
      <c r="H174" s="696"/>
      <c r="I174" s="696"/>
      <c r="J174" s="696"/>
      <c r="K174" s="696"/>
      <c r="L174" s="696" t="s">
        <v>551</v>
      </c>
      <c r="M174" s="716" t="s">
        <v>3000</v>
      </c>
      <c r="N174" s="702"/>
      <c r="O174" s="714">
        <v>6000000</v>
      </c>
      <c r="P174" s="696"/>
      <c r="Q174" s="698" t="s">
        <v>2983</v>
      </c>
    </row>
    <row r="175" spans="1:17" ht="60" x14ac:dyDescent="0.25">
      <c r="A175" s="696"/>
      <c r="B175" s="696"/>
      <c r="C175" s="696"/>
      <c r="D175" s="698" t="s">
        <v>3001</v>
      </c>
      <c r="E175" s="698" t="s">
        <v>3002</v>
      </c>
      <c r="F175" s="696" t="s">
        <v>3003</v>
      </c>
      <c r="G175" s="696"/>
      <c r="H175" s="696"/>
      <c r="I175" s="696"/>
      <c r="J175" s="696"/>
      <c r="K175" s="696"/>
      <c r="L175" s="698" t="s">
        <v>3004</v>
      </c>
      <c r="M175" s="716" t="s">
        <v>2982</v>
      </c>
      <c r="N175" s="702"/>
      <c r="O175" s="714">
        <v>9000000</v>
      </c>
      <c r="P175" s="696"/>
      <c r="Q175" s="698" t="s">
        <v>2983</v>
      </c>
    </row>
    <row r="176" spans="1:17" ht="60" x14ac:dyDescent="0.25">
      <c r="A176" s="696"/>
      <c r="B176" s="696"/>
      <c r="C176" s="696"/>
      <c r="D176" s="698" t="s">
        <v>3005</v>
      </c>
      <c r="E176" s="698" t="s">
        <v>3006</v>
      </c>
      <c r="F176" s="696" t="s">
        <v>1282</v>
      </c>
      <c r="G176" s="696"/>
      <c r="H176" s="696"/>
      <c r="I176" s="696"/>
      <c r="J176" s="696"/>
      <c r="K176" s="696"/>
      <c r="L176" s="696" t="s">
        <v>3007</v>
      </c>
      <c r="M176" s="704" t="s">
        <v>3008</v>
      </c>
      <c r="N176" s="702"/>
      <c r="O176" s="714">
        <v>6000000</v>
      </c>
      <c r="P176" s="696"/>
      <c r="Q176" s="698" t="s">
        <v>2983</v>
      </c>
    </row>
    <row r="177" spans="1:19" ht="45" x14ac:dyDescent="0.25">
      <c r="A177" s="696"/>
      <c r="B177" s="696"/>
      <c r="C177" s="696"/>
      <c r="D177" s="698" t="s">
        <v>3009</v>
      </c>
      <c r="E177" s="698" t="s">
        <v>3010</v>
      </c>
      <c r="F177" s="696" t="s">
        <v>2995</v>
      </c>
      <c r="G177" s="696"/>
      <c r="H177" s="696"/>
      <c r="I177" s="696"/>
      <c r="J177" s="696"/>
      <c r="K177" s="696"/>
      <c r="L177" s="696" t="s">
        <v>551</v>
      </c>
      <c r="M177" s="704" t="s">
        <v>239</v>
      </c>
      <c r="N177" s="702"/>
      <c r="O177" s="714">
        <v>30000000</v>
      </c>
      <c r="P177" s="696"/>
      <c r="Q177" s="700" t="s">
        <v>2972</v>
      </c>
    </row>
    <row r="178" spans="1:19" ht="15.75" x14ac:dyDescent="0.25">
      <c r="A178" s="868" t="s">
        <v>2671</v>
      </c>
      <c r="B178" s="868"/>
      <c r="C178" s="868"/>
      <c r="D178" s="868"/>
      <c r="E178" s="868"/>
      <c r="F178" s="868"/>
      <c r="G178" s="868"/>
      <c r="H178" s="868"/>
      <c r="I178" s="868"/>
      <c r="J178" s="868"/>
      <c r="K178" s="868"/>
      <c r="L178" s="868"/>
      <c r="M178" s="868"/>
      <c r="N178" s="702">
        <f>SUM(N140:N177)</f>
        <v>49000000</v>
      </c>
      <c r="O178" s="714">
        <f>SUM(O140:O177)</f>
        <v>623300000</v>
      </c>
      <c r="P178" s="696"/>
      <c r="Q178" s="696"/>
      <c r="R178" s="717">
        <f>N178</f>
        <v>49000000</v>
      </c>
      <c r="S178" s="717">
        <f>O178</f>
        <v>623300000</v>
      </c>
    </row>
    <row r="180" spans="1:19" ht="21" x14ac:dyDescent="0.25">
      <c r="A180" s="643" t="s">
        <v>3011</v>
      </c>
      <c r="B180" s="643"/>
    </row>
    <row r="181" spans="1:19" x14ac:dyDescent="0.25">
      <c r="A181" s="618" t="s">
        <v>2598</v>
      </c>
      <c r="B181" s="618"/>
      <c r="C181" s="618" t="s">
        <v>2599</v>
      </c>
      <c r="D181" s="618" t="s">
        <v>2600</v>
      </c>
      <c r="E181" s="618" t="s">
        <v>2601</v>
      </c>
      <c r="F181" s="867" t="s">
        <v>2483</v>
      </c>
      <c r="G181" s="867"/>
      <c r="H181" s="867"/>
      <c r="I181" s="867"/>
      <c r="J181" s="867"/>
      <c r="K181" s="867"/>
      <c r="L181" s="618" t="s">
        <v>2602</v>
      </c>
      <c r="M181" s="618" t="s">
        <v>2603</v>
      </c>
      <c r="N181" s="867" t="s">
        <v>2604</v>
      </c>
      <c r="O181" s="867"/>
      <c r="P181" s="867"/>
      <c r="Q181" s="618" t="s">
        <v>2605</v>
      </c>
    </row>
    <row r="182" spans="1:19" x14ac:dyDescent="0.25">
      <c r="A182" s="619"/>
      <c r="B182" s="619"/>
      <c r="C182" s="619"/>
      <c r="D182" s="619"/>
      <c r="E182" s="619"/>
      <c r="F182" s="620" t="s">
        <v>2606</v>
      </c>
      <c r="G182" s="620" t="s">
        <v>11</v>
      </c>
      <c r="H182" s="620" t="s">
        <v>12</v>
      </c>
      <c r="I182" s="620" t="s">
        <v>13</v>
      </c>
      <c r="J182" s="620" t="s">
        <v>14</v>
      </c>
      <c r="K182" s="620" t="s">
        <v>15</v>
      </c>
      <c r="L182" s="621"/>
      <c r="M182" s="621"/>
      <c r="N182" s="620" t="s">
        <v>2488</v>
      </c>
      <c r="O182" s="620" t="s">
        <v>2607</v>
      </c>
      <c r="P182" s="620" t="s">
        <v>2608</v>
      </c>
      <c r="Q182" s="621"/>
    </row>
    <row r="183" spans="1:19" x14ac:dyDescent="0.25">
      <c r="A183" s="695">
        <v>1</v>
      </c>
      <c r="B183" s="695"/>
      <c r="C183" s="695">
        <v>2</v>
      </c>
      <c r="D183" s="695">
        <v>3</v>
      </c>
      <c r="E183" s="695">
        <v>4</v>
      </c>
      <c r="F183" s="695">
        <v>5</v>
      </c>
      <c r="G183" s="695">
        <v>6</v>
      </c>
      <c r="H183" s="695">
        <v>7</v>
      </c>
      <c r="I183" s="695">
        <v>8</v>
      </c>
      <c r="J183" s="695">
        <v>9</v>
      </c>
      <c r="K183" s="695">
        <v>10</v>
      </c>
      <c r="L183" s="695">
        <v>11</v>
      </c>
      <c r="M183" s="695">
        <v>12</v>
      </c>
      <c r="N183" s="695">
        <v>13</v>
      </c>
      <c r="O183" s="695">
        <v>14</v>
      </c>
      <c r="P183" s="695">
        <v>15</v>
      </c>
      <c r="Q183" s="695">
        <v>16</v>
      </c>
    </row>
    <row r="184" spans="1:19" ht="30" x14ac:dyDescent="0.25">
      <c r="A184" s="718" t="s">
        <v>3012</v>
      </c>
      <c r="B184" s="718"/>
      <c r="C184" s="718"/>
      <c r="D184" s="718"/>
      <c r="E184" s="718"/>
      <c r="F184" s="630"/>
      <c r="G184" s="630"/>
      <c r="H184" s="630"/>
      <c r="I184" s="630"/>
      <c r="J184" s="630"/>
      <c r="K184" s="630"/>
      <c r="L184" s="719" t="s">
        <v>3013</v>
      </c>
      <c r="M184" s="720" t="s">
        <v>3014</v>
      </c>
      <c r="N184" s="721"/>
      <c r="O184" s="722">
        <f>180*400000</f>
        <v>72000000</v>
      </c>
      <c r="P184" s="630"/>
      <c r="Q184" s="723" t="s">
        <v>200</v>
      </c>
    </row>
    <row r="185" spans="1:19" ht="90" x14ac:dyDescent="0.25">
      <c r="A185" s="724">
        <v>1</v>
      </c>
      <c r="B185" s="645">
        <v>26.1</v>
      </c>
      <c r="C185" s="719" t="s">
        <v>3015</v>
      </c>
      <c r="D185" s="719" t="s">
        <v>3016</v>
      </c>
      <c r="E185" s="719" t="s">
        <v>3017</v>
      </c>
      <c r="F185" s="630"/>
      <c r="G185" s="630"/>
      <c r="H185" s="630"/>
      <c r="I185" s="630"/>
      <c r="J185" s="630"/>
      <c r="K185" s="630"/>
      <c r="L185" s="725" t="s">
        <v>3018</v>
      </c>
      <c r="M185" s="725" t="s">
        <v>3019</v>
      </c>
      <c r="N185" s="726"/>
      <c r="O185" s="727">
        <f>650*400000</f>
        <v>260000000</v>
      </c>
      <c r="P185" s="630"/>
      <c r="Q185" s="646" t="s">
        <v>200</v>
      </c>
    </row>
    <row r="186" spans="1:19" ht="85.5" x14ac:dyDescent="0.25">
      <c r="A186" s="728"/>
      <c r="B186" s="645">
        <v>26.1</v>
      </c>
      <c r="C186" s="726"/>
      <c r="D186" s="729" t="s">
        <v>3020</v>
      </c>
      <c r="E186" s="725" t="s">
        <v>3021</v>
      </c>
      <c r="F186" s="630"/>
      <c r="G186" s="630"/>
      <c r="H186" s="630"/>
      <c r="I186" s="630"/>
      <c r="J186" s="630"/>
      <c r="K186" s="630"/>
      <c r="L186" s="719" t="s">
        <v>3022</v>
      </c>
      <c r="M186" s="720" t="s">
        <v>2939</v>
      </c>
      <c r="N186" s="721"/>
      <c r="O186" s="730">
        <f>100*400000</f>
        <v>40000000</v>
      </c>
      <c r="P186" s="630"/>
      <c r="Q186" s="646" t="s">
        <v>200</v>
      </c>
    </row>
    <row r="187" spans="1:19" ht="75" x14ac:dyDescent="0.25">
      <c r="A187" s="724"/>
      <c r="B187" s="645">
        <v>26.1</v>
      </c>
      <c r="C187" s="719"/>
      <c r="D187" s="731" t="s">
        <v>3020</v>
      </c>
      <c r="E187" s="732"/>
      <c r="F187" s="630"/>
      <c r="G187" s="630"/>
      <c r="H187" s="630"/>
      <c r="I187" s="630"/>
      <c r="J187" s="630"/>
      <c r="K187" s="630"/>
      <c r="L187" s="719" t="s">
        <v>3013</v>
      </c>
      <c r="M187" s="719" t="s">
        <v>3023</v>
      </c>
      <c r="N187" s="730"/>
      <c r="O187" s="730">
        <f>5*3000000</f>
        <v>15000000</v>
      </c>
      <c r="P187" s="630"/>
      <c r="Q187" s="646" t="s">
        <v>200</v>
      </c>
    </row>
    <row r="188" spans="1:19" ht="90" x14ac:dyDescent="0.25">
      <c r="A188" s="724">
        <v>2</v>
      </c>
      <c r="B188" s="733">
        <v>26.06</v>
      </c>
      <c r="C188" s="719" t="s">
        <v>3024</v>
      </c>
      <c r="D188" s="719" t="s">
        <v>3025</v>
      </c>
      <c r="E188" s="719" t="s">
        <v>3026</v>
      </c>
      <c r="F188" s="630"/>
      <c r="G188" s="630"/>
      <c r="H188" s="630"/>
      <c r="I188" s="630"/>
      <c r="J188" s="630"/>
      <c r="K188" s="630"/>
      <c r="L188" s="726" t="s">
        <v>3022</v>
      </c>
      <c r="M188" s="734" t="s">
        <v>1605</v>
      </c>
      <c r="N188" s="727">
        <f>5*3500000</f>
        <v>17500000</v>
      </c>
      <c r="O188" s="727"/>
      <c r="P188" s="630"/>
      <c r="Q188" s="646"/>
    </row>
    <row r="189" spans="1:19" ht="42.75" x14ac:dyDescent="0.25">
      <c r="A189" s="728"/>
      <c r="B189" s="733">
        <v>26.06</v>
      </c>
      <c r="C189" s="726"/>
      <c r="D189" s="725" t="s">
        <v>3027</v>
      </c>
      <c r="E189" s="718"/>
      <c r="F189" s="630"/>
      <c r="G189" s="630"/>
      <c r="H189" s="630"/>
      <c r="I189" s="630"/>
      <c r="J189" s="630"/>
      <c r="K189" s="630"/>
      <c r="L189" s="725" t="s">
        <v>3018</v>
      </c>
      <c r="M189" s="735" t="s">
        <v>3028</v>
      </c>
      <c r="N189" s="727">
        <f>20*3500000</f>
        <v>70000000</v>
      </c>
      <c r="O189" s="727"/>
      <c r="P189" s="630"/>
      <c r="Q189" s="646"/>
    </row>
    <row r="190" spans="1:19" ht="42.75" x14ac:dyDescent="0.25">
      <c r="A190" s="728"/>
      <c r="B190" s="733">
        <v>26.06</v>
      </c>
      <c r="C190" s="726"/>
      <c r="D190" s="725" t="s">
        <v>3027</v>
      </c>
      <c r="E190" s="725" t="s">
        <v>3029</v>
      </c>
      <c r="F190" s="630"/>
      <c r="G190" s="630"/>
      <c r="H190" s="630"/>
      <c r="I190" s="630"/>
      <c r="J190" s="630"/>
      <c r="K190" s="630"/>
      <c r="L190" s="725" t="s">
        <v>3030</v>
      </c>
      <c r="M190" s="735" t="s">
        <v>2953</v>
      </c>
      <c r="N190" s="727">
        <f>200*350000</f>
        <v>70000000</v>
      </c>
      <c r="O190" s="726"/>
      <c r="P190" s="630"/>
      <c r="Q190" s="646"/>
    </row>
    <row r="191" spans="1:19" ht="42.75" x14ac:dyDescent="0.25">
      <c r="A191" s="728"/>
      <c r="B191" s="728">
        <v>2.02</v>
      </c>
      <c r="C191" s="726"/>
      <c r="D191" s="736" t="s">
        <v>3031</v>
      </c>
      <c r="E191" s="725" t="s">
        <v>3032</v>
      </c>
      <c r="F191" s="630"/>
      <c r="G191" s="630"/>
      <c r="H191" s="630"/>
      <c r="I191" s="630"/>
      <c r="J191" s="630"/>
      <c r="K191" s="630"/>
      <c r="L191" s="726" t="s">
        <v>3033</v>
      </c>
      <c r="M191" s="737" t="s">
        <v>2939</v>
      </c>
      <c r="N191" s="727"/>
      <c r="O191" s="727">
        <f>100*3000000</f>
        <v>300000000</v>
      </c>
      <c r="P191" s="630"/>
      <c r="Q191" s="646" t="s">
        <v>200</v>
      </c>
    </row>
    <row r="192" spans="1:19" ht="45" x14ac:dyDescent="0.25">
      <c r="A192" s="728">
        <v>3</v>
      </c>
      <c r="B192" s="728"/>
      <c r="C192" s="726" t="s">
        <v>3034</v>
      </c>
      <c r="D192" s="726" t="s">
        <v>3035</v>
      </c>
      <c r="E192" s="726" t="s">
        <v>3036</v>
      </c>
      <c r="F192" s="630"/>
      <c r="G192" s="630"/>
      <c r="H192" s="630"/>
      <c r="I192" s="630"/>
      <c r="J192" s="630"/>
      <c r="K192" s="630"/>
      <c r="L192" s="726" t="s">
        <v>3037</v>
      </c>
      <c r="M192" s="726" t="s">
        <v>3038</v>
      </c>
      <c r="N192" s="727">
        <f>4*4000000+(8*2500000)</f>
        <v>36000000</v>
      </c>
      <c r="O192" s="726"/>
      <c r="P192" s="630"/>
      <c r="Q192" s="630"/>
    </row>
    <row r="193" spans="1:17" ht="60" x14ac:dyDescent="0.25">
      <c r="A193" s="728">
        <v>4</v>
      </c>
      <c r="B193" s="728">
        <v>2.11</v>
      </c>
      <c r="C193" s="726" t="s">
        <v>2923</v>
      </c>
      <c r="D193" s="726" t="s">
        <v>3039</v>
      </c>
      <c r="E193" s="726" t="s">
        <v>3040</v>
      </c>
      <c r="F193" s="630"/>
      <c r="G193" s="630"/>
      <c r="H193" s="630"/>
      <c r="I193" s="630"/>
      <c r="J193" s="630"/>
      <c r="K193" s="630"/>
      <c r="L193" s="726" t="s">
        <v>3041</v>
      </c>
      <c r="M193" s="726"/>
      <c r="N193" s="737"/>
      <c r="O193" s="738" t="s">
        <v>3042</v>
      </c>
      <c r="P193" s="630"/>
      <c r="Q193" s="739" t="s">
        <v>948</v>
      </c>
    </row>
    <row r="194" spans="1:17" ht="60" x14ac:dyDescent="0.25">
      <c r="A194" s="728">
        <v>5</v>
      </c>
      <c r="B194" s="728">
        <v>26.05</v>
      </c>
      <c r="C194" s="726" t="s">
        <v>2766</v>
      </c>
      <c r="D194" s="726" t="s">
        <v>3043</v>
      </c>
      <c r="E194" s="726" t="s">
        <v>3044</v>
      </c>
      <c r="F194" s="630"/>
      <c r="G194" s="630"/>
      <c r="H194" s="630"/>
      <c r="I194" s="630"/>
      <c r="J194" s="630"/>
      <c r="K194" s="630"/>
      <c r="L194" s="726" t="s">
        <v>3045</v>
      </c>
      <c r="M194" s="740" t="s">
        <v>352</v>
      </c>
      <c r="N194" s="726"/>
      <c r="O194" s="727">
        <f>2*2400000</f>
        <v>4800000</v>
      </c>
      <c r="P194" s="630"/>
      <c r="Q194" s="630" t="s">
        <v>948</v>
      </c>
    </row>
    <row r="195" spans="1:17" x14ac:dyDescent="0.25">
      <c r="A195" s="728"/>
      <c r="B195" s="728">
        <v>26.05</v>
      </c>
      <c r="C195" s="726"/>
      <c r="D195" s="725" t="s">
        <v>1307</v>
      </c>
      <c r="E195" s="718"/>
      <c r="F195" s="630"/>
      <c r="G195" s="630"/>
      <c r="H195" s="630"/>
      <c r="I195" s="630"/>
      <c r="J195" s="630"/>
      <c r="K195" s="630"/>
      <c r="L195" s="725" t="s">
        <v>3018</v>
      </c>
      <c r="M195" s="740" t="s">
        <v>352</v>
      </c>
      <c r="N195" s="726"/>
      <c r="O195" s="727">
        <f>2*2400000</f>
        <v>4800000</v>
      </c>
      <c r="P195" s="630"/>
      <c r="Q195" s="630" t="s">
        <v>2768</v>
      </c>
    </row>
    <row r="196" spans="1:17" ht="57" x14ac:dyDescent="0.25">
      <c r="A196" s="728"/>
      <c r="B196" s="728">
        <v>26.05</v>
      </c>
      <c r="C196" s="726"/>
      <c r="D196" s="729" t="s">
        <v>1307</v>
      </c>
      <c r="E196" s="725" t="s">
        <v>3046</v>
      </c>
      <c r="F196" s="630"/>
      <c r="G196" s="630"/>
      <c r="H196" s="630"/>
      <c r="I196" s="630"/>
      <c r="J196" s="630"/>
      <c r="K196" s="630"/>
      <c r="L196" s="726" t="s">
        <v>3047</v>
      </c>
      <c r="M196" s="726" t="s">
        <v>3048</v>
      </c>
      <c r="N196" s="741"/>
      <c r="O196" s="738" t="s">
        <v>3049</v>
      </c>
      <c r="P196" s="630"/>
      <c r="Q196" s="630" t="s">
        <v>2768</v>
      </c>
    </row>
    <row r="197" spans="1:17" x14ac:dyDescent="0.25">
      <c r="A197" s="728"/>
      <c r="B197" s="728"/>
      <c r="C197" s="741" t="s">
        <v>1500</v>
      </c>
      <c r="D197" s="741" t="s">
        <v>3050</v>
      </c>
      <c r="E197" s="726"/>
      <c r="F197" s="630"/>
      <c r="G197" s="630"/>
      <c r="H197" s="630"/>
      <c r="I197" s="630"/>
      <c r="J197" s="630"/>
      <c r="K197" s="630"/>
      <c r="L197" s="741" t="s">
        <v>3051</v>
      </c>
      <c r="M197" s="741" t="s">
        <v>2712</v>
      </c>
      <c r="N197" s="726"/>
      <c r="O197" s="722">
        <v>20000000</v>
      </c>
      <c r="P197" s="630"/>
      <c r="Q197" s="630" t="s">
        <v>3052</v>
      </c>
    </row>
    <row r="198" spans="1:17" x14ac:dyDescent="0.25">
      <c r="A198" s="728"/>
      <c r="B198" s="728"/>
      <c r="C198" s="741" t="s">
        <v>1500</v>
      </c>
      <c r="D198" s="741" t="s">
        <v>3053</v>
      </c>
      <c r="E198" s="726"/>
      <c r="F198" s="630"/>
      <c r="G198" s="630"/>
      <c r="H198" s="630"/>
      <c r="I198" s="630"/>
      <c r="J198" s="630"/>
      <c r="K198" s="630"/>
      <c r="L198" s="741" t="s">
        <v>3051</v>
      </c>
      <c r="M198" s="741" t="s">
        <v>3054</v>
      </c>
      <c r="N198" s="726"/>
      <c r="O198" s="722">
        <v>20000000</v>
      </c>
      <c r="P198" s="630"/>
      <c r="Q198" s="630" t="s">
        <v>3052</v>
      </c>
    </row>
    <row r="199" spans="1:17" ht="120" x14ac:dyDescent="0.25">
      <c r="A199" s="728"/>
      <c r="B199" s="728"/>
      <c r="C199" s="726"/>
      <c r="D199" s="726" t="s">
        <v>3055</v>
      </c>
      <c r="E199" s="726" t="s">
        <v>3056</v>
      </c>
      <c r="F199" s="630"/>
      <c r="G199" s="630"/>
      <c r="H199" s="630"/>
      <c r="I199" s="630"/>
      <c r="J199" s="630"/>
      <c r="K199" s="630"/>
      <c r="L199" s="726" t="s">
        <v>3057</v>
      </c>
      <c r="M199" s="726" t="s">
        <v>3058</v>
      </c>
      <c r="N199" s="726"/>
      <c r="O199" s="727">
        <v>3000000</v>
      </c>
      <c r="P199" s="630"/>
      <c r="Q199" s="630"/>
    </row>
    <row r="200" spans="1:17" ht="57" x14ac:dyDescent="0.25">
      <c r="A200" s="728"/>
      <c r="B200" s="728"/>
      <c r="C200" s="726"/>
      <c r="D200" s="729" t="s">
        <v>3059</v>
      </c>
      <c r="E200" s="725" t="s">
        <v>3060</v>
      </c>
      <c r="F200" s="630"/>
      <c r="G200" s="630"/>
      <c r="H200" s="630"/>
      <c r="I200" s="630"/>
      <c r="J200" s="630"/>
      <c r="K200" s="630"/>
      <c r="L200" s="725" t="s">
        <v>3061</v>
      </c>
      <c r="M200" s="735" t="s">
        <v>3062</v>
      </c>
      <c r="N200" s="742"/>
      <c r="O200" s="705">
        <v>15000000</v>
      </c>
      <c r="P200" s="630"/>
      <c r="Q200" s="630"/>
    </row>
    <row r="201" spans="1:17" ht="114" x14ac:dyDescent="0.25">
      <c r="A201" s="728"/>
      <c r="B201" s="728"/>
      <c r="C201" s="726"/>
      <c r="D201" s="729" t="s">
        <v>3063</v>
      </c>
      <c r="E201" s="725" t="s">
        <v>3064</v>
      </c>
      <c r="F201" s="630"/>
      <c r="G201" s="630"/>
      <c r="H201" s="630"/>
      <c r="I201" s="630"/>
      <c r="J201" s="630"/>
      <c r="K201" s="630"/>
      <c r="L201" s="725" t="s">
        <v>3018</v>
      </c>
      <c r="M201" s="735" t="s">
        <v>377</v>
      </c>
      <c r="N201" s="742"/>
      <c r="O201" s="705">
        <f>7*5000000</f>
        <v>35000000</v>
      </c>
      <c r="P201" s="630"/>
      <c r="Q201" s="739" t="s">
        <v>1073</v>
      </c>
    </row>
    <row r="202" spans="1:17" ht="28.5" x14ac:dyDescent="0.25">
      <c r="A202" s="743">
        <v>7</v>
      </c>
      <c r="B202" s="743">
        <v>2.0699999999999998</v>
      </c>
      <c r="C202" s="744" t="s">
        <v>195</v>
      </c>
      <c r="D202" s="725" t="s">
        <v>3065</v>
      </c>
      <c r="E202" s="744" t="s">
        <v>3066</v>
      </c>
      <c r="F202" s="630"/>
      <c r="G202" s="630"/>
      <c r="H202" s="630"/>
      <c r="I202" s="630"/>
      <c r="J202" s="630"/>
      <c r="K202" s="630"/>
      <c r="L202" s="740" t="s">
        <v>3067</v>
      </c>
      <c r="M202" s="734" t="s">
        <v>3068</v>
      </c>
      <c r="N202" s="718"/>
      <c r="O202" s="705">
        <f>7*5000000</f>
        <v>35000000</v>
      </c>
      <c r="P202" s="630"/>
      <c r="Q202" s="630" t="s">
        <v>200</v>
      </c>
    </row>
    <row r="203" spans="1:17" ht="45" x14ac:dyDescent="0.25">
      <c r="A203" s="728">
        <v>1</v>
      </c>
      <c r="B203" s="645">
        <v>26.13</v>
      </c>
      <c r="C203" s="726" t="s">
        <v>325</v>
      </c>
      <c r="D203" s="741" t="s">
        <v>3069</v>
      </c>
      <c r="E203" s="726" t="s">
        <v>3070</v>
      </c>
      <c r="F203" s="630"/>
      <c r="G203" s="630"/>
      <c r="H203" s="630"/>
      <c r="I203" s="630"/>
      <c r="J203" s="630"/>
      <c r="K203" s="630"/>
      <c r="L203" s="741" t="s">
        <v>3071</v>
      </c>
      <c r="M203" s="737" t="s">
        <v>3072</v>
      </c>
      <c r="N203" s="745">
        <f>480*200000</f>
        <v>96000000</v>
      </c>
      <c r="O203" s="745"/>
      <c r="P203" s="630"/>
      <c r="Q203" s="630"/>
    </row>
    <row r="204" spans="1:17" ht="28.5" x14ac:dyDescent="0.25">
      <c r="A204" s="728"/>
      <c r="B204" s="645">
        <v>26.13</v>
      </c>
      <c r="C204" s="726"/>
      <c r="D204" s="725" t="s">
        <v>3073</v>
      </c>
      <c r="E204" s="725" t="s">
        <v>3074</v>
      </c>
      <c r="F204" s="630"/>
      <c r="G204" s="630"/>
      <c r="H204" s="630"/>
      <c r="I204" s="630"/>
      <c r="J204" s="630"/>
      <c r="K204" s="630"/>
      <c r="L204" s="725" t="s">
        <v>3051</v>
      </c>
      <c r="M204" s="735" t="s">
        <v>509</v>
      </c>
      <c r="N204" s="726"/>
      <c r="O204" s="745">
        <f>50*200000</f>
        <v>10000000</v>
      </c>
      <c r="P204" s="630"/>
      <c r="Q204" s="630" t="s">
        <v>200</v>
      </c>
    </row>
    <row r="205" spans="1:17" ht="45" x14ac:dyDescent="0.25">
      <c r="A205" s="728">
        <v>3</v>
      </c>
      <c r="B205" s="728"/>
      <c r="C205" s="726" t="s">
        <v>3034</v>
      </c>
      <c r="D205" s="726" t="s">
        <v>3075</v>
      </c>
      <c r="E205" s="726" t="s">
        <v>3036</v>
      </c>
      <c r="F205" s="630"/>
      <c r="G205" s="630"/>
      <c r="H205" s="630"/>
      <c r="I205" s="630"/>
      <c r="J205" s="630"/>
      <c r="K205" s="630"/>
      <c r="L205" s="726" t="s">
        <v>3076</v>
      </c>
      <c r="M205" s="746" t="s">
        <v>3077</v>
      </c>
      <c r="N205" s="726" t="s">
        <v>464</v>
      </c>
      <c r="O205" s="745">
        <v>25000000</v>
      </c>
      <c r="P205" s="630"/>
      <c r="Q205" s="630" t="s">
        <v>200</v>
      </c>
    </row>
    <row r="206" spans="1:17" ht="45" x14ac:dyDescent="0.25">
      <c r="A206" s="728"/>
      <c r="B206" s="728"/>
      <c r="C206" s="726"/>
      <c r="D206" s="726" t="s">
        <v>3078</v>
      </c>
      <c r="E206" s="726" t="s">
        <v>3036</v>
      </c>
      <c r="F206" s="630"/>
      <c r="G206" s="630"/>
      <c r="H206" s="630"/>
      <c r="I206" s="630"/>
      <c r="J206" s="630"/>
      <c r="K206" s="630"/>
      <c r="L206" s="726" t="s">
        <v>3079</v>
      </c>
      <c r="M206" s="746" t="s">
        <v>3077</v>
      </c>
      <c r="N206" s="726" t="s">
        <v>464</v>
      </c>
      <c r="O206" s="745">
        <v>25000000</v>
      </c>
      <c r="P206" s="630"/>
      <c r="Q206" s="630" t="s">
        <v>200</v>
      </c>
    </row>
    <row r="207" spans="1:17" ht="45" x14ac:dyDescent="0.25">
      <c r="A207" s="728"/>
      <c r="B207" s="728"/>
      <c r="C207" s="726"/>
      <c r="D207" s="726" t="s">
        <v>3080</v>
      </c>
      <c r="E207" s="726" t="s">
        <v>3036</v>
      </c>
      <c r="F207" s="630"/>
      <c r="G207" s="630"/>
      <c r="H207" s="630"/>
      <c r="I207" s="630"/>
      <c r="J207" s="630"/>
      <c r="K207" s="630"/>
      <c r="L207" s="718" t="s">
        <v>3081</v>
      </c>
      <c r="M207" s="747" t="s">
        <v>292</v>
      </c>
      <c r="N207" s="718"/>
      <c r="O207" s="745">
        <v>25000000</v>
      </c>
      <c r="P207" s="630"/>
      <c r="Q207" s="630" t="s">
        <v>200</v>
      </c>
    </row>
    <row r="208" spans="1:17" ht="30" x14ac:dyDescent="0.25">
      <c r="A208" s="728"/>
      <c r="B208" s="728"/>
      <c r="C208" s="726"/>
      <c r="D208" s="718" t="s">
        <v>3082</v>
      </c>
      <c r="E208" s="718"/>
      <c r="F208" s="630"/>
      <c r="G208" s="630"/>
      <c r="H208" s="630"/>
      <c r="I208" s="630"/>
      <c r="J208" s="630"/>
      <c r="K208" s="630"/>
      <c r="L208" s="726" t="s">
        <v>3083</v>
      </c>
      <c r="M208" s="747" t="s">
        <v>292</v>
      </c>
      <c r="N208" s="718"/>
      <c r="O208" s="745">
        <v>25000000</v>
      </c>
      <c r="P208" s="630"/>
      <c r="Q208" s="630" t="s">
        <v>200</v>
      </c>
    </row>
    <row r="209" spans="1:17" ht="45" x14ac:dyDescent="0.25">
      <c r="A209" s="728">
        <v>4</v>
      </c>
      <c r="B209" s="728"/>
      <c r="C209" s="718" t="s">
        <v>3084</v>
      </c>
      <c r="D209" s="718" t="s">
        <v>3084</v>
      </c>
      <c r="E209" s="718"/>
      <c r="F209" s="630"/>
      <c r="G209" s="630"/>
      <c r="H209" s="630"/>
      <c r="I209" s="630"/>
      <c r="J209" s="630"/>
      <c r="K209" s="630"/>
      <c r="L209" s="726" t="s">
        <v>3085</v>
      </c>
      <c r="M209" s="747" t="s">
        <v>292</v>
      </c>
      <c r="N209" s="718"/>
      <c r="O209" s="748">
        <f>100*6*100000</f>
        <v>60000000</v>
      </c>
      <c r="P209" s="630"/>
      <c r="Q209" s="630" t="s">
        <v>200</v>
      </c>
    </row>
    <row r="210" spans="1:17" ht="36" customHeight="1" x14ac:dyDescent="0.25">
      <c r="A210" s="728">
        <v>5</v>
      </c>
      <c r="B210" s="728">
        <v>26.07</v>
      </c>
      <c r="C210" s="725" t="s">
        <v>3086</v>
      </c>
      <c r="D210" s="725" t="s">
        <v>3087</v>
      </c>
      <c r="E210" s="725" t="s">
        <v>3088</v>
      </c>
      <c r="F210" s="630"/>
      <c r="G210" s="630"/>
      <c r="H210" s="630"/>
      <c r="I210" s="630"/>
      <c r="J210" s="630"/>
      <c r="K210" s="630"/>
      <c r="L210" s="725" t="s">
        <v>3089</v>
      </c>
      <c r="M210" s="735" t="s">
        <v>3090</v>
      </c>
      <c r="N210" s="718"/>
      <c r="O210" s="748">
        <f>12*3000000</f>
        <v>36000000</v>
      </c>
      <c r="P210" s="630"/>
      <c r="Q210" s="666" t="s">
        <v>1073</v>
      </c>
    </row>
    <row r="211" spans="1:17" ht="42.75" x14ac:dyDescent="0.25">
      <c r="A211" s="724"/>
      <c r="B211" s="724"/>
      <c r="C211" s="719"/>
      <c r="D211" s="749" t="s">
        <v>3091</v>
      </c>
      <c r="E211" s="749" t="s">
        <v>3092</v>
      </c>
      <c r="F211" s="630"/>
      <c r="G211" s="630"/>
      <c r="H211" s="630"/>
      <c r="I211" s="630"/>
      <c r="J211" s="630"/>
      <c r="K211" s="630"/>
      <c r="L211" s="726" t="s">
        <v>3093</v>
      </c>
      <c r="M211" s="746" t="s">
        <v>76</v>
      </c>
      <c r="N211" s="718"/>
      <c r="O211" s="745">
        <f t="shared" ref="O211:O213" si="0">30*20000+(500000)</f>
        <v>1100000</v>
      </c>
      <c r="P211" s="630"/>
      <c r="Q211" s="630" t="s">
        <v>3094</v>
      </c>
    </row>
    <row r="212" spans="1:17" ht="45" x14ac:dyDescent="0.25">
      <c r="A212" s="728"/>
      <c r="B212" s="728"/>
      <c r="C212" s="726"/>
      <c r="D212" s="726" t="s">
        <v>3095</v>
      </c>
      <c r="E212" s="726" t="s">
        <v>3096</v>
      </c>
      <c r="F212" s="630"/>
      <c r="G212" s="630"/>
      <c r="H212" s="630"/>
      <c r="I212" s="630"/>
      <c r="J212" s="630"/>
      <c r="K212" s="630"/>
      <c r="L212" s="726" t="s">
        <v>3093</v>
      </c>
      <c r="M212" s="746" t="s">
        <v>3097</v>
      </c>
      <c r="N212" s="726" t="s">
        <v>464</v>
      </c>
      <c r="O212" s="745">
        <f t="shared" si="0"/>
        <v>1100000</v>
      </c>
      <c r="P212" s="630"/>
      <c r="Q212" s="630" t="s">
        <v>3094</v>
      </c>
    </row>
    <row r="213" spans="1:17" ht="60" x14ac:dyDescent="0.25">
      <c r="A213" s="728"/>
      <c r="B213" s="728"/>
      <c r="C213" s="726"/>
      <c r="D213" s="726" t="s">
        <v>3098</v>
      </c>
      <c r="E213" s="726" t="s">
        <v>3096</v>
      </c>
      <c r="F213" s="630"/>
      <c r="G213" s="630"/>
      <c r="H213" s="630"/>
      <c r="I213" s="630"/>
      <c r="J213" s="630"/>
      <c r="K213" s="630"/>
      <c r="L213" s="726" t="s">
        <v>3093</v>
      </c>
      <c r="M213" s="746" t="s">
        <v>3099</v>
      </c>
      <c r="N213" s="726" t="s">
        <v>464</v>
      </c>
      <c r="O213" s="745">
        <f t="shared" si="0"/>
        <v>1100000</v>
      </c>
      <c r="P213" s="630"/>
      <c r="Q213" s="630" t="s">
        <v>3094</v>
      </c>
    </row>
    <row r="214" spans="1:17" ht="45" x14ac:dyDescent="0.25">
      <c r="A214" s="728"/>
      <c r="B214" s="728"/>
      <c r="C214" s="726"/>
      <c r="D214" s="726" t="s">
        <v>3100</v>
      </c>
      <c r="E214" s="726" t="s">
        <v>3096</v>
      </c>
      <c r="F214" s="630"/>
      <c r="G214" s="630"/>
      <c r="H214" s="630"/>
      <c r="I214" s="630"/>
      <c r="J214" s="630"/>
      <c r="K214" s="630"/>
      <c r="L214" s="726" t="s">
        <v>3093</v>
      </c>
      <c r="M214" s="746" t="s">
        <v>76</v>
      </c>
      <c r="N214" s="726" t="s">
        <v>464</v>
      </c>
      <c r="O214" s="745">
        <v>3000000</v>
      </c>
      <c r="P214" s="630"/>
      <c r="Q214" s="630" t="s">
        <v>1073</v>
      </c>
    </row>
    <row r="215" spans="1:17" x14ac:dyDescent="0.25">
      <c r="A215" s="728"/>
      <c r="B215" s="728"/>
      <c r="C215" s="718"/>
      <c r="D215" s="718" t="s">
        <v>3101</v>
      </c>
      <c r="E215" s="718"/>
      <c r="F215" s="630"/>
      <c r="G215" s="630"/>
      <c r="H215" s="630"/>
      <c r="I215" s="630"/>
      <c r="J215" s="630"/>
      <c r="K215" s="630"/>
      <c r="L215" s="718" t="s">
        <v>595</v>
      </c>
      <c r="M215" s="747" t="s">
        <v>3102</v>
      </c>
      <c r="N215" s="726"/>
      <c r="O215" s="745">
        <f>30*20000+(500000)</f>
        <v>1100000</v>
      </c>
      <c r="P215" s="630"/>
      <c r="Q215" s="630" t="s">
        <v>2742</v>
      </c>
    </row>
    <row r="216" spans="1:17" x14ac:dyDescent="0.25">
      <c r="A216" s="728"/>
      <c r="B216" s="728"/>
      <c r="C216" s="718"/>
      <c r="D216" s="718" t="s">
        <v>3103</v>
      </c>
      <c r="E216" s="718"/>
      <c r="F216" s="630"/>
      <c r="G216" s="630"/>
      <c r="H216" s="630"/>
      <c r="I216" s="630"/>
      <c r="J216" s="630"/>
      <c r="K216" s="630"/>
      <c r="L216" s="718" t="s">
        <v>3104</v>
      </c>
      <c r="M216" s="747" t="s">
        <v>3105</v>
      </c>
      <c r="N216" s="718"/>
      <c r="O216" s="745">
        <f>30*20000+(500000)</f>
        <v>1100000</v>
      </c>
      <c r="P216" s="630"/>
      <c r="Q216" s="630" t="s">
        <v>1073</v>
      </c>
    </row>
    <row r="217" spans="1:17" x14ac:dyDescent="0.25">
      <c r="A217" s="728"/>
      <c r="B217" s="728"/>
      <c r="C217" s="718"/>
      <c r="D217" s="718" t="s">
        <v>1287</v>
      </c>
      <c r="E217" s="718"/>
      <c r="F217" s="630"/>
      <c r="G217" s="630"/>
      <c r="H217" s="630"/>
      <c r="I217" s="630"/>
      <c r="J217" s="630"/>
      <c r="K217" s="630"/>
      <c r="L217" s="725" t="s">
        <v>3089</v>
      </c>
      <c r="M217" s="735" t="s">
        <v>106</v>
      </c>
      <c r="N217" s="718"/>
      <c r="O217" s="705">
        <f>200000*20</f>
        <v>4000000</v>
      </c>
      <c r="P217" s="630"/>
      <c r="Q217" s="739" t="s">
        <v>948</v>
      </c>
    </row>
    <row r="218" spans="1:17" ht="42.75" x14ac:dyDescent="0.25">
      <c r="A218" s="728"/>
      <c r="B218" s="728"/>
      <c r="C218" s="718"/>
      <c r="D218" s="725" t="s">
        <v>3106</v>
      </c>
      <c r="E218" s="725" t="s">
        <v>3107</v>
      </c>
      <c r="F218" s="630"/>
      <c r="G218" s="630"/>
      <c r="H218" s="630"/>
      <c r="I218" s="630"/>
      <c r="J218" s="630"/>
      <c r="K218" s="630"/>
      <c r="L218" s="718" t="s">
        <v>595</v>
      </c>
      <c r="M218" s="734" t="s">
        <v>3108</v>
      </c>
      <c r="N218" s="705"/>
      <c r="O218" s="705">
        <f>6*300*220+(350000*6)</f>
        <v>2496000</v>
      </c>
      <c r="P218" s="630"/>
      <c r="Q218" s="630" t="s">
        <v>3109</v>
      </c>
    </row>
    <row r="219" spans="1:17" x14ac:dyDescent="0.25">
      <c r="A219" s="747">
        <v>2</v>
      </c>
      <c r="B219" s="747"/>
      <c r="C219" s="718" t="s">
        <v>3110</v>
      </c>
      <c r="D219" s="718" t="s">
        <v>3111</v>
      </c>
      <c r="E219" s="718"/>
      <c r="F219" s="630"/>
      <c r="G219" s="630"/>
      <c r="H219" s="630"/>
      <c r="I219" s="630"/>
      <c r="J219" s="630"/>
      <c r="K219" s="630"/>
      <c r="L219" s="718" t="s">
        <v>3104</v>
      </c>
      <c r="M219" s="747" t="s">
        <v>3105</v>
      </c>
      <c r="N219" s="718"/>
      <c r="O219" s="705">
        <f>2*750000</f>
        <v>1500000</v>
      </c>
      <c r="P219" s="630"/>
      <c r="Q219" s="630" t="s">
        <v>2742</v>
      </c>
    </row>
    <row r="220" spans="1:17" ht="60" x14ac:dyDescent="0.25">
      <c r="A220" s="747">
        <v>3</v>
      </c>
      <c r="B220" s="747"/>
      <c r="C220" s="726" t="s">
        <v>3112</v>
      </c>
      <c r="D220" s="718" t="s">
        <v>3111</v>
      </c>
      <c r="E220" s="718"/>
      <c r="F220" s="630"/>
      <c r="G220" s="630"/>
      <c r="H220" s="630"/>
      <c r="I220" s="630"/>
      <c r="J220" s="630"/>
      <c r="K220" s="630"/>
      <c r="L220" s="718" t="s">
        <v>595</v>
      </c>
      <c r="M220" s="747" t="s">
        <v>3102</v>
      </c>
      <c r="N220" s="718"/>
      <c r="O220" s="705">
        <v>1500000</v>
      </c>
      <c r="P220" s="630"/>
      <c r="Q220" s="739" t="s">
        <v>641</v>
      </c>
    </row>
    <row r="221" spans="1:17" ht="45" x14ac:dyDescent="0.25">
      <c r="A221" s="747">
        <v>4</v>
      </c>
      <c r="B221" s="747"/>
      <c r="C221" s="726" t="s">
        <v>3113</v>
      </c>
      <c r="D221" s="718" t="s">
        <v>3111</v>
      </c>
      <c r="E221" s="718"/>
      <c r="F221" s="630"/>
      <c r="G221" s="630"/>
      <c r="H221" s="630"/>
      <c r="I221" s="630"/>
      <c r="J221" s="630"/>
      <c r="K221" s="630"/>
      <c r="L221" s="725" t="s">
        <v>3018</v>
      </c>
      <c r="M221" s="725"/>
      <c r="N221" s="742"/>
      <c r="O221" s="705">
        <v>1500000</v>
      </c>
      <c r="P221" s="630"/>
      <c r="Q221" s="630" t="s">
        <v>1073</v>
      </c>
    </row>
    <row r="222" spans="1:17" ht="57" x14ac:dyDescent="0.25">
      <c r="A222" s="743">
        <v>6</v>
      </c>
      <c r="B222" s="743"/>
      <c r="C222" s="744" t="s">
        <v>3114</v>
      </c>
      <c r="D222" s="725" t="s">
        <v>3115</v>
      </c>
      <c r="E222" s="725" t="s">
        <v>3116</v>
      </c>
      <c r="F222" s="630"/>
      <c r="G222" s="630"/>
      <c r="H222" s="630"/>
      <c r="I222" s="630"/>
      <c r="J222" s="630"/>
      <c r="K222" s="630"/>
      <c r="L222" s="725" t="s">
        <v>3018</v>
      </c>
      <c r="M222" s="725"/>
      <c r="N222" s="742"/>
      <c r="O222" s="705">
        <v>1500000</v>
      </c>
      <c r="P222" s="630"/>
      <c r="Q222" s="630" t="s">
        <v>2872</v>
      </c>
    </row>
    <row r="223" spans="1:17" ht="57" x14ac:dyDescent="0.25">
      <c r="A223" s="743"/>
      <c r="B223" s="743"/>
      <c r="C223" s="744"/>
      <c r="D223" s="725" t="s">
        <v>3117</v>
      </c>
      <c r="E223" s="725" t="s">
        <v>3118</v>
      </c>
      <c r="F223" s="630"/>
      <c r="G223" s="630"/>
      <c r="H223" s="630"/>
      <c r="I223" s="630"/>
      <c r="J223" s="630"/>
      <c r="K223" s="630"/>
      <c r="L223" s="725" t="s">
        <v>3119</v>
      </c>
      <c r="M223" s="725"/>
      <c r="N223" s="744"/>
      <c r="O223" s="705">
        <v>1000000</v>
      </c>
      <c r="P223" s="630"/>
      <c r="Q223" s="630" t="s">
        <v>2872</v>
      </c>
    </row>
    <row r="224" spans="1:17" ht="85.5" x14ac:dyDescent="0.25">
      <c r="A224" s="743">
        <v>7</v>
      </c>
      <c r="B224" s="743"/>
      <c r="C224" s="744" t="s">
        <v>2907</v>
      </c>
      <c r="D224" s="725" t="s">
        <v>3120</v>
      </c>
      <c r="E224" s="725" t="s">
        <v>3121</v>
      </c>
      <c r="F224" s="630"/>
      <c r="G224" s="630"/>
      <c r="H224" s="630"/>
      <c r="I224" s="630"/>
      <c r="J224" s="630"/>
      <c r="K224" s="630"/>
      <c r="L224" s="725" t="s">
        <v>3119</v>
      </c>
      <c r="M224" s="735" t="s">
        <v>3122</v>
      </c>
      <c r="N224" s="744"/>
      <c r="O224" s="705">
        <f>38*3*20000</f>
        <v>2280000</v>
      </c>
      <c r="P224" s="630"/>
      <c r="Q224" s="739" t="s">
        <v>641</v>
      </c>
    </row>
    <row r="225" spans="1:19" ht="71.25" x14ac:dyDescent="0.25">
      <c r="A225" s="743"/>
      <c r="B225" s="743"/>
      <c r="C225" s="744"/>
      <c r="D225" s="725" t="s">
        <v>3123</v>
      </c>
      <c r="E225" s="725" t="s">
        <v>3124</v>
      </c>
      <c r="F225" s="630"/>
      <c r="G225" s="630"/>
      <c r="H225" s="630"/>
      <c r="I225" s="630"/>
      <c r="J225" s="630"/>
      <c r="K225" s="630"/>
      <c r="L225" s="725" t="s">
        <v>3119</v>
      </c>
      <c r="M225" s="744"/>
      <c r="N225" s="744"/>
      <c r="O225" s="705">
        <v>5000000</v>
      </c>
      <c r="P225" s="630"/>
      <c r="Q225" s="630" t="s">
        <v>641</v>
      </c>
    </row>
    <row r="226" spans="1:19" ht="57" x14ac:dyDescent="0.25">
      <c r="A226" s="743"/>
      <c r="B226" s="743"/>
      <c r="C226" s="744"/>
      <c r="D226" s="725" t="s">
        <v>3125</v>
      </c>
      <c r="E226" s="725" t="s">
        <v>3126</v>
      </c>
      <c r="F226" s="630"/>
      <c r="G226" s="630"/>
      <c r="H226" s="630"/>
      <c r="I226" s="630"/>
      <c r="J226" s="630"/>
      <c r="K226" s="630"/>
      <c r="L226" s="725" t="s">
        <v>3089</v>
      </c>
      <c r="M226" s="735" t="s">
        <v>3127</v>
      </c>
      <c r="N226" s="742"/>
      <c r="O226" s="705">
        <f>750*100000</f>
        <v>75000000</v>
      </c>
      <c r="P226" s="630"/>
      <c r="Q226" s="630" t="s">
        <v>641</v>
      </c>
    </row>
    <row r="227" spans="1:19" ht="42.75" x14ac:dyDescent="0.25">
      <c r="A227" s="743">
        <v>8</v>
      </c>
      <c r="B227" s="743"/>
      <c r="C227" s="725" t="s">
        <v>2740</v>
      </c>
      <c r="D227" s="725" t="s">
        <v>3128</v>
      </c>
      <c r="E227" s="725" t="s">
        <v>3088</v>
      </c>
      <c r="F227" s="630"/>
      <c r="G227" s="630"/>
      <c r="H227" s="630"/>
      <c r="I227" s="630"/>
      <c r="J227" s="630"/>
      <c r="K227" s="630"/>
      <c r="L227" s="725" t="s">
        <v>3129</v>
      </c>
      <c r="M227" s="725"/>
      <c r="N227" s="742"/>
      <c r="O227" s="705">
        <v>5000000</v>
      </c>
      <c r="P227" s="630"/>
      <c r="Q227" s="630" t="s">
        <v>641</v>
      </c>
    </row>
    <row r="228" spans="1:19" x14ac:dyDescent="0.25">
      <c r="A228" s="750"/>
      <c r="B228" s="750"/>
      <c r="C228" s="750"/>
      <c r="D228" s="725" t="s">
        <v>3130</v>
      </c>
      <c r="E228" s="725"/>
      <c r="F228" s="630"/>
      <c r="G228" s="630"/>
      <c r="H228" s="630"/>
      <c r="I228" s="630"/>
      <c r="J228" s="630"/>
      <c r="K228" s="630"/>
      <c r="L228" s="751" t="s">
        <v>595</v>
      </c>
      <c r="M228" s="752" t="s">
        <v>3131</v>
      </c>
      <c r="N228" s="630"/>
      <c r="O228" s="753">
        <v>3600000000</v>
      </c>
      <c r="P228" s="630"/>
      <c r="Q228" s="630" t="s">
        <v>3132</v>
      </c>
    </row>
    <row r="229" spans="1:19" ht="15.75" x14ac:dyDescent="0.25">
      <c r="A229" s="868" t="s">
        <v>2671</v>
      </c>
      <c r="B229" s="868"/>
      <c r="C229" s="868"/>
      <c r="D229" s="868"/>
      <c r="E229" s="868"/>
      <c r="F229" s="868"/>
      <c r="G229" s="868"/>
      <c r="H229" s="868"/>
      <c r="I229" s="868"/>
      <c r="J229" s="868"/>
      <c r="K229" s="868"/>
      <c r="L229" s="868"/>
      <c r="M229" s="868"/>
      <c r="N229" s="753">
        <f>SUM(N184:N228)</f>
        <v>289500000</v>
      </c>
      <c r="O229" s="753">
        <f>SUM(O184:O228)</f>
        <v>4739876000</v>
      </c>
      <c r="P229" s="630"/>
      <c r="Q229" s="630"/>
      <c r="R229" s="675">
        <f>N229</f>
        <v>289500000</v>
      </c>
      <c r="S229" s="675">
        <f>O229</f>
        <v>4739876000</v>
      </c>
    </row>
    <row r="231" spans="1:19" ht="21" x14ac:dyDescent="0.25">
      <c r="A231" s="679" t="s">
        <v>3133</v>
      </c>
      <c r="B231" s="679"/>
      <c r="C231" s="680"/>
      <c r="D231" s="680"/>
      <c r="E231" s="680"/>
      <c r="F231" s="680"/>
      <c r="G231" s="680"/>
      <c r="H231" s="680"/>
      <c r="I231" s="680"/>
      <c r="J231" s="680"/>
      <c r="K231" s="680"/>
      <c r="L231" s="680"/>
      <c r="M231" s="680"/>
      <c r="N231" s="680"/>
      <c r="O231" s="680"/>
      <c r="P231" s="680"/>
      <c r="Q231" s="680"/>
    </row>
    <row r="232" spans="1:19" x14ac:dyDescent="0.25">
      <c r="A232" s="618" t="s">
        <v>2598</v>
      </c>
      <c r="B232" s="618"/>
      <c r="C232" s="618" t="s">
        <v>2599</v>
      </c>
      <c r="D232" s="618" t="s">
        <v>2600</v>
      </c>
      <c r="E232" s="618" t="s">
        <v>2601</v>
      </c>
      <c r="F232" s="867" t="s">
        <v>2483</v>
      </c>
      <c r="G232" s="867"/>
      <c r="H232" s="867"/>
      <c r="I232" s="867"/>
      <c r="J232" s="867"/>
      <c r="K232" s="867"/>
      <c r="L232" s="618" t="s">
        <v>2602</v>
      </c>
      <c r="M232" s="618" t="s">
        <v>2603</v>
      </c>
      <c r="N232" s="867" t="s">
        <v>2604</v>
      </c>
      <c r="O232" s="867"/>
      <c r="P232" s="867"/>
      <c r="Q232" s="618" t="s">
        <v>2605</v>
      </c>
    </row>
    <row r="233" spans="1:19" x14ac:dyDescent="0.25">
      <c r="A233" s="619"/>
      <c r="B233" s="619"/>
      <c r="C233" s="619"/>
      <c r="D233" s="619"/>
      <c r="E233" s="619"/>
      <c r="F233" s="620" t="s">
        <v>2606</v>
      </c>
      <c r="G233" s="620" t="s">
        <v>11</v>
      </c>
      <c r="H233" s="620" t="s">
        <v>12</v>
      </c>
      <c r="I233" s="620" t="s">
        <v>13</v>
      </c>
      <c r="J233" s="620" t="s">
        <v>14</v>
      </c>
      <c r="K233" s="620" t="s">
        <v>15</v>
      </c>
      <c r="L233" s="621"/>
      <c r="M233" s="621"/>
      <c r="N233" s="620" t="s">
        <v>2488</v>
      </c>
      <c r="O233" s="620" t="s">
        <v>2607</v>
      </c>
      <c r="P233" s="620" t="s">
        <v>2608</v>
      </c>
      <c r="Q233" s="621"/>
    </row>
    <row r="234" spans="1:19" x14ac:dyDescent="0.25">
      <c r="A234" s="754">
        <v>1</v>
      </c>
      <c r="B234" s="754"/>
      <c r="C234" s="754">
        <v>2</v>
      </c>
      <c r="D234" s="754">
        <v>3</v>
      </c>
      <c r="E234" s="754">
        <v>4</v>
      </c>
      <c r="F234" s="754">
        <v>5</v>
      </c>
      <c r="G234" s="754">
        <v>6</v>
      </c>
      <c r="H234" s="754">
        <v>7</v>
      </c>
      <c r="I234" s="754">
        <v>8</v>
      </c>
      <c r="J234" s="754">
        <v>9</v>
      </c>
      <c r="K234" s="754">
        <v>10</v>
      </c>
      <c r="L234" s="754">
        <v>11</v>
      </c>
      <c r="M234" s="754">
        <v>12</v>
      </c>
      <c r="N234" s="754">
        <v>13</v>
      </c>
      <c r="O234" s="754">
        <v>14</v>
      </c>
      <c r="P234" s="754">
        <v>15</v>
      </c>
      <c r="Q234" s="754">
        <v>16</v>
      </c>
    </row>
    <row r="235" spans="1:19" ht="30" x14ac:dyDescent="0.25">
      <c r="A235" s="661">
        <v>1</v>
      </c>
      <c r="B235" s="728">
        <v>26.05</v>
      </c>
      <c r="C235" s="661" t="s">
        <v>2766</v>
      </c>
      <c r="D235" s="755" t="s">
        <v>3134</v>
      </c>
      <c r="E235" s="661" t="s">
        <v>2924</v>
      </c>
      <c r="F235" s="661"/>
      <c r="G235" s="661"/>
      <c r="H235" s="661"/>
      <c r="I235" s="661"/>
      <c r="J235" s="661"/>
      <c r="K235" s="661"/>
      <c r="L235" s="661" t="s">
        <v>3135</v>
      </c>
      <c r="M235" s="661"/>
      <c r="N235" s="661"/>
      <c r="O235" s="661"/>
      <c r="P235" s="661"/>
      <c r="Q235" s="630" t="s">
        <v>2731</v>
      </c>
    </row>
    <row r="236" spans="1:19" x14ac:dyDescent="0.25">
      <c r="A236" s="756"/>
      <c r="B236" s="728">
        <v>26.05</v>
      </c>
      <c r="C236" s="661" t="s">
        <v>2766</v>
      </c>
      <c r="D236" s="756"/>
      <c r="E236" s="661"/>
      <c r="F236" s="661"/>
      <c r="G236" s="661"/>
      <c r="H236" s="661"/>
      <c r="I236" s="661"/>
      <c r="J236" s="661"/>
      <c r="K236" s="661"/>
      <c r="L236" s="661" t="s">
        <v>3136</v>
      </c>
      <c r="M236" s="663" t="s">
        <v>2712</v>
      </c>
      <c r="N236" s="661"/>
      <c r="O236" s="757">
        <f>1*2400000</f>
        <v>2400000</v>
      </c>
      <c r="P236" s="661"/>
      <c r="Q236" s="630" t="s">
        <v>2731</v>
      </c>
    </row>
    <row r="237" spans="1:19" x14ac:dyDescent="0.25">
      <c r="A237" s="756"/>
      <c r="B237" s="728">
        <v>26.05</v>
      </c>
      <c r="C237" s="661" t="s">
        <v>2766</v>
      </c>
      <c r="D237" s="756"/>
      <c r="E237" s="661"/>
      <c r="F237" s="661"/>
      <c r="G237" s="661"/>
      <c r="H237" s="661"/>
      <c r="I237" s="661"/>
      <c r="J237" s="661"/>
      <c r="K237" s="661"/>
      <c r="L237" s="661" t="s">
        <v>3137</v>
      </c>
      <c r="M237" s="661" t="s">
        <v>455</v>
      </c>
      <c r="N237" s="661"/>
      <c r="O237" s="757">
        <f>3*2400000</f>
        <v>7200000</v>
      </c>
      <c r="P237" s="661"/>
      <c r="Q237" s="630" t="s">
        <v>2731</v>
      </c>
    </row>
    <row r="238" spans="1:19" x14ac:dyDescent="0.25">
      <c r="A238" s="756"/>
      <c r="B238" s="728">
        <v>26.05</v>
      </c>
      <c r="C238" s="661" t="s">
        <v>2766</v>
      </c>
      <c r="D238" s="756"/>
      <c r="E238" s="661"/>
      <c r="F238" s="661"/>
      <c r="G238" s="661"/>
      <c r="H238" s="661"/>
      <c r="I238" s="661"/>
      <c r="J238" s="661"/>
      <c r="K238" s="661"/>
      <c r="L238" s="661" t="s">
        <v>3138</v>
      </c>
      <c r="M238" s="663" t="s">
        <v>455</v>
      </c>
      <c r="N238" s="661"/>
      <c r="O238" s="757">
        <f>3*2400000</f>
        <v>7200000</v>
      </c>
      <c r="P238" s="661"/>
      <c r="Q238" s="630" t="s">
        <v>2731</v>
      </c>
    </row>
    <row r="239" spans="1:19" x14ac:dyDescent="0.25">
      <c r="A239" s="756"/>
      <c r="B239" s="728">
        <v>26.05</v>
      </c>
      <c r="C239" s="661" t="s">
        <v>2766</v>
      </c>
      <c r="D239" s="756"/>
      <c r="E239" s="661"/>
      <c r="F239" s="661"/>
      <c r="G239" s="661"/>
      <c r="H239" s="661"/>
      <c r="I239" s="661"/>
      <c r="J239" s="661"/>
      <c r="K239" s="661"/>
      <c r="L239" s="663" t="s">
        <v>3139</v>
      </c>
      <c r="M239" s="663" t="s">
        <v>3140</v>
      </c>
      <c r="N239" s="661"/>
      <c r="O239" s="757">
        <f>7*2400000</f>
        <v>16800000</v>
      </c>
      <c r="P239" s="661"/>
      <c r="Q239" s="630" t="s">
        <v>2731</v>
      </c>
    </row>
    <row r="240" spans="1:19" ht="30" x14ac:dyDescent="0.25">
      <c r="A240" s="756"/>
      <c r="B240" s="728">
        <v>26.05</v>
      </c>
      <c r="C240" s="661" t="s">
        <v>2766</v>
      </c>
      <c r="D240" s="756"/>
      <c r="E240" s="661"/>
      <c r="F240" s="661"/>
      <c r="G240" s="661"/>
      <c r="H240" s="661"/>
      <c r="I240" s="661"/>
      <c r="J240" s="661"/>
      <c r="K240" s="661"/>
      <c r="L240" s="661" t="s">
        <v>3141</v>
      </c>
      <c r="M240" s="661" t="s">
        <v>352</v>
      </c>
      <c r="N240" s="661"/>
      <c r="O240" s="757">
        <f>2*2400000</f>
        <v>4800000</v>
      </c>
      <c r="P240" s="661"/>
      <c r="Q240" s="630" t="s">
        <v>2731</v>
      </c>
    </row>
    <row r="241" spans="1:17" ht="30" x14ac:dyDescent="0.25">
      <c r="A241" s="756"/>
      <c r="B241" s="728">
        <v>26.05</v>
      </c>
      <c r="C241" s="661" t="s">
        <v>2766</v>
      </c>
      <c r="D241" s="756"/>
      <c r="E241" s="661"/>
      <c r="F241" s="661"/>
      <c r="G241" s="661"/>
      <c r="H241" s="661"/>
      <c r="I241" s="661"/>
      <c r="J241" s="661"/>
      <c r="K241" s="661"/>
      <c r="L241" s="661" t="s">
        <v>3142</v>
      </c>
      <c r="M241" s="663" t="s">
        <v>3143</v>
      </c>
      <c r="N241" s="661"/>
      <c r="O241" s="757">
        <f>4*2400000</f>
        <v>9600000</v>
      </c>
      <c r="P241" s="661"/>
      <c r="Q241" s="630" t="s">
        <v>2731</v>
      </c>
    </row>
    <row r="242" spans="1:17" x14ac:dyDescent="0.25">
      <c r="A242" s="756"/>
      <c r="B242" s="728">
        <v>26.05</v>
      </c>
      <c r="C242" s="661" t="s">
        <v>2766</v>
      </c>
      <c r="D242" s="756"/>
      <c r="E242" s="661"/>
      <c r="F242" s="661"/>
      <c r="G242" s="661"/>
      <c r="H242" s="661"/>
      <c r="I242" s="661"/>
      <c r="J242" s="661"/>
      <c r="K242" s="661"/>
      <c r="L242" s="661" t="s">
        <v>3144</v>
      </c>
      <c r="M242" s="752" t="s">
        <v>199</v>
      </c>
      <c r="N242" s="661"/>
      <c r="O242" s="757">
        <f>5*2400000</f>
        <v>12000000</v>
      </c>
      <c r="P242" s="661"/>
      <c r="Q242" s="630" t="s">
        <v>2731</v>
      </c>
    </row>
    <row r="243" spans="1:17" x14ac:dyDescent="0.25">
      <c r="A243" s="756"/>
      <c r="B243" s="728">
        <v>26.05</v>
      </c>
      <c r="C243" s="661" t="s">
        <v>2766</v>
      </c>
      <c r="D243" s="756"/>
      <c r="E243" s="661"/>
      <c r="F243" s="661"/>
      <c r="G243" s="661"/>
      <c r="H243" s="661"/>
      <c r="I243" s="661"/>
      <c r="J243" s="661"/>
      <c r="K243" s="661"/>
      <c r="L243" s="661" t="s">
        <v>3145</v>
      </c>
      <c r="M243" s="752" t="s">
        <v>352</v>
      </c>
      <c r="N243" s="661"/>
      <c r="O243" s="757">
        <f>2*2400000</f>
        <v>4800000</v>
      </c>
      <c r="P243" s="661"/>
      <c r="Q243" s="630" t="s">
        <v>2731</v>
      </c>
    </row>
    <row r="244" spans="1:17" ht="30" x14ac:dyDescent="0.25">
      <c r="A244" s="661">
        <v>2</v>
      </c>
      <c r="B244" s="661"/>
      <c r="C244" s="661" t="s">
        <v>2669</v>
      </c>
      <c r="D244" s="756" t="s">
        <v>3146</v>
      </c>
      <c r="E244" s="661"/>
      <c r="F244" s="661"/>
      <c r="G244" s="661"/>
      <c r="H244" s="661"/>
      <c r="I244" s="661"/>
      <c r="J244" s="661"/>
      <c r="K244" s="661"/>
      <c r="L244" s="663" t="s">
        <v>3147</v>
      </c>
      <c r="M244" s="661"/>
      <c r="N244" s="661"/>
      <c r="O244" s="757">
        <v>7000000</v>
      </c>
      <c r="P244" s="661"/>
      <c r="Q244" s="663" t="s">
        <v>2209</v>
      </c>
    </row>
    <row r="245" spans="1:17" x14ac:dyDescent="0.25">
      <c r="A245" s="661"/>
      <c r="B245" s="661"/>
      <c r="C245" s="661"/>
      <c r="D245" s="756" t="s">
        <v>3148</v>
      </c>
      <c r="E245" s="661"/>
      <c r="F245" s="661"/>
      <c r="G245" s="661"/>
      <c r="H245" s="661"/>
      <c r="I245" s="661"/>
      <c r="J245" s="661"/>
      <c r="K245" s="661"/>
      <c r="L245" s="663" t="s">
        <v>3149</v>
      </c>
      <c r="M245" s="661" t="s">
        <v>2916</v>
      </c>
      <c r="N245" s="661"/>
      <c r="O245" s="757">
        <v>5000000</v>
      </c>
      <c r="P245" s="661"/>
      <c r="Q245" s="663" t="s">
        <v>2209</v>
      </c>
    </row>
    <row r="246" spans="1:17" ht="45" x14ac:dyDescent="0.25">
      <c r="A246" s="661"/>
      <c r="B246" s="661"/>
      <c r="C246" s="661"/>
      <c r="D246" s="661" t="s">
        <v>3150</v>
      </c>
      <c r="E246" s="661" t="s">
        <v>3151</v>
      </c>
      <c r="F246" s="661" t="s">
        <v>3152</v>
      </c>
      <c r="G246" s="661"/>
      <c r="H246" s="661"/>
      <c r="I246" s="661"/>
      <c r="J246" s="661"/>
      <c r="K246" s="661"/>
      <c r="L246" s="661" t="s">
        <v>3153</v>
      </c>
      <c r="M246" s="661" t="s">
        <v>2712</v>
      </c>
      <c r="N246" s="661"/>
      <c r="O246" s="757">
        <v>2500000</v>
      </c>
      <c r="P246" s="661"/>
      <c r="Q246" s="663" t="s">
        <v>3154</v>
      </c>
    </row>
    <row r="247" spans="1:17" ht="45" x14ac:dyDescent="0.25">
      <c r="A247" s="661"/>
      <c r="B247" s="661"/>
      <c r="C247" s="661"/>
      <c r="D247" s="661" t="s">
        <v>3155</v>
      </c>
      <c r="E247" s="661" t="s">
        <v>3156</v>
      </c>
      <c r="F247" s="661"/>
      <c r="G247" s="661"/>
      <c r="H247" s="661"/>
      <c r="I247" s="661"/>
      <c r="J247" s="661"/>
      <c r="K247" s="661"/>
      <c r="L247" s="661" t="s">
        <v>3157</v>
      </c>
      <c r="M247" s="661" t="s">
        <v>3158</v>
      </c>
      <c r="N247" s="661"/>
      <c r="O247" s="757">
        <v>7000000</v>
      </c>
      <c r="P247" s="661"/>
      <c r="Q247" s="663" t="s">
        <v>3154</v>
      </c>
    </row>
    <row r="248" spans="1:17" ht="45" x14ac:dyDescent="0.25">
      <c r="A248" s="661"/>
      <c r="B248" s="661"/>
      <c r="C248" s="661"/>
      <c r="D248" s="661" t="s">
        <v>3155</v>
      </c>
      <c r="E248" s="661" t="s">
        <v>3156</v>
      </c>
      <c r="F248" s="661"/>
      <c r="G248" s="661"/>
      <c r="H248" s="661"/>
      <c r="I248" s="661"/>
      <c r="J248" s="661"/>
      <c r="K248" s="661"/>
      <c r="L248" s="661" t="s">
        <v>3159</v>
      </c>
      <c r="M248" s="661" t="s">
        <v>625</v>
      </c>
      <c r="N248" s="661"/>
      <c r="O248" s="757">
        <v>7000000</v>
      </c>
      <c r="P248" s="661"/>
      <c r="Q248" s="663" t="s">
        <v>3154</v>
      </c>
    </row>
    <row r="249" spans="1:17" x14ac:dyDescent="0.25">
      <c r="A249" s="661"/>
      <c r="B249" s="661"/>
      <c r="C249" s="661"/>
      <c r="D249" s="630" t="s">
        <v>3160</v>
      </c>
      <c r="E249" s="630" t="s">
        <v>3161</v>
      </c>
      <c r="F249" s="630" t="s">
        <v>3162</v>
      </c>
      <c r="G249" s="630"/>
      <c r="H249" s="630"/>
      <c r="I249" s="630" t="s">
        <v>49</v>
      </c>
      <c r="J249" s="630"/>
      <c r="K249" s="630"/>
      <c r="L249" s="630" t="s">
        <v>3163</v>
      </c>
      <c r="M249" s="630" t="s">
        <v>3164</v>
      </c>
      <c r="N249" s="630"/>
      <c r="O249" s="758">
        <v>5000000</v>
      </c>
      <c r="P249" s="630"/>
      <c r="Q249" s="630" t="s">
        <v>2867</v>
      </c>
    </row>
    <row r="250" spans="1:17" ht="30" x14ac:dyDescent="0.25">
      <c r="A250" s="661">
        <v>3</v>
      </c>
      <c r="B250" s="661"/>
      <c r="C250" s="663" t="s">
        <v>3165</v>
      </c>
      <c r="D250" s="661" t="s">
        <v>3166</v>
      </c>
      <c r="E250" s="661" t="s">
        <v>3167</v>
      </c>
      <c r="F250" s="661"/>
      <c r="G250" s="661"/>
      <c r="H250" s="661"/>
      <c r="I250" s="661"/>
      <c r="J250" s="661"/>
      <c r="K250" s="661"/>
      <c r="L250" s="661" t="s">
        <v>3137</v>
      </c>
      <c r="M250" s="661" t="s">
        <v>2750</v>
      </c>
      <c r="N250" s="661"/>
      <c r="O250" s="757">
        <f>150*400000</f>
        <v>60000000</v>
      </c>
      <c r="P250" s="661"/>
      <c r="Q250" s="630" t="s">
        <v>200</v>
      </c>
    </row>
    <row r="251" spans="1:17" ht="30" x14ac:dyDescent="0.25">
      <c r="A251" s="661"/>
      <c r="B251" s="661"/>
      <c r="C251" s="661"/>
      <c r="D251" s="630"/>
      <c r="E251" s="661" t="s">
        <v>3168</v>
      </c>
      <c r="F251" s="661"/>
      <c r="G251" s="661"/>
      <c r="H251" s="661"/>
      <c r="I251" s="661"/>
      <c r="J251" s="661"/>
      <c r="K251" s="661"/>
      <c r="L251" s="661" t="s">
        <v>3169</v>
      </c>
      <c r="M251" s="661" t="s">
        <v>3170</v>
      </c>
      <c r="N251" s="661"/>
      <c r="O251" s="757">
        <f>80*400000</f>
        <v>32000000</v>
      </c>
      <c r="P251" s="661"/>
      <c r="Q251" s="630" t="s">
        <v>200</v>
      </c>
    </row>
    <row r="252" spans="1:17" x14ac:dyDescent="0.25">
      <c r="A252" s="661">
        <v>4</v>
      </c>
      <c r="B252" s="661">
        <v>2.0099999999999998</v>
      </c>
      <c r="C252" s="663" t="s">
        <v>2673</v>
      </c>
      <c r="D252" s="661" t="s">
        <v>3171</v>
      </c>
      <c r="E252" s="661" t="s">
        <v>2949</v>
      </c>
      <c r="F252" s="661"/>
      <c r="G252" s="661"/>
      <c r="H252" s="661"/>
      <c r="I252" s="661"/>
      <c r="J252" s="661"/>
      <c r="K252" s="661"/>
      <c r="L252" s="661" t="s">
        <v>3137</v>
      </c>
      <c r="M252" s="661" t="s">
        <v>2750</v>
      </c>
      <c r="N252" s="661"/>
      <c r="O252" s="757">
        <f>150*400000</f>
        <v>60000000</v>
      </c>
      <c r="P252" s="661"/>
      <c r="Q252" s="630" t="s">
        <v>200</v>
      </c>
    </row>
    <row r="253" spans="1:17" x14ac:dyDescent="0.25">
      <c r="A253" s="661"/>
      <c r="B253" s="661">
        <v>2.0099999999999998</v>
      </c>
      <c r="C253" s="663" t="s">
        <v>1811</v>
      </c>
      <c r="D253" s="661"/>
      <c r="E253" s="661"/>
      <c r="F253" s="661"/>
      <c r="G253" s="661"/>
      <c r="H253" s="661"/>
      <c r="I253" s="661"/>
      <c r="J253" s="661"/>
      <c r="K253" s="661"/>
      <c r="L253" s="663" t="s">
        <v>3172</v>
      </c>
      <c r="M253" s="661" t="s">
        <v>3173</v>
      </c>
      <c r="N253" s="661"/>
      <c r="O253" s="757">
        <f>7*3000000</f>
        <v>21000000</v>
      </c>
      <c r="P253" s="661"/>
      <c r="Q253" s="630" t="s">
        <v>200</v>
      </c>
    </row>
    <row r="254" spans="1:17" x14ac:dyDescent="0.25">
      <c r="A254" s="661"/>
      <c r="B254" s="661">
        <v>2.0099999999999998</v>
      </c>
      <c r="C254" s="663" t="s">
        <v>1811</v>
      </c>
      <c r="D254" s="661"/>
      <c r="E254" s="661"/>
      <c r="F254" s="661"/>
      <c r="G254" s="661"/>
      <c r="H254" s="661"/>
      <c r="I254" s="661"/>
      <c r="J254" s="661"/>
      <c r="K254" s="661"/>
      <c r="L254" s="661" t="s">
        <v>3174</v>
      </c>
      <c r="M254" s="661" t="s">
        <v>3175</v>
      </c>
      <c r="N254" s="661"/>
      <c r="O254" s="757">
        <f>10*3000000</f>
        <v>30000000</v>
      </c>
      <c r="P254" s="661"/>
      <c r="Q254" s="630" t="s">
        <v>200</v>
      </c>
    </row>
    <row r="255" spans="1:17" x14ac:dyDescent="0.25">
      <c r="A255" s="661"/>
      <c r="B255" s="661">
        <v>2.0099999999999998</v>
      </c>
      <c r="C255" s="663" t="s">
        <v>2673</v>
      </c>
      <c r="D255" s="661"/>
      <c r="E255" s="661"/>
      <c r="F255" s="661"/>
      <c r="G255" s="661"/>
      <c r="H255" s="661"/>
      <c r="I255" s="661"/>
      <c r="J255" s="661"/>
      <c r="K255" s="661"/>
      <c r="L255" s="661" t="s">
        <v>3176</v>
      </c>
      <c r="M255" s="661" t="s">
        <v>3177</v>
      </c>
      <c r="N255" s="661"/>
      <c r="O255" s="757">
        <f>82*400000</f>
        <v>32800000</v>
      </c>
      <c r="P255" s="661"/>
      <c r="Q255" s="630" t="s">
        <v>200</v>
      </c>
    </row>
    <row r="256" spans="1:17" x14ac:dyDescent="0.25">
      <c r="A256" s="661"/>
      <c r="B256" s="661">
        <v>2.0099999999999998</v>
      </c>
      <c r="C256" s="663" t="s">
        <v>2673</v>
      </c>
      <c r="D256" s="661"/>
      <c r="E256" s="661"/>
      <c r="F256" s="661"/>
      <c r="G256" s="661"/>
      <c r="H256" s="661"/>
      <c r="I256" s="661"/>
      <c r="J256" s="661"/>
      <c r="K256" s="661"/>
      <c r="L256" s="661" t="s">
        <v>3178</v>
      </c>
      <c r="M256" s="661" t="s">
        <v>2939</v>
      </c>
      <c r="N256" s="661"/>
      <c r="O256" s="757">
        <f>100*400000</f>
        <v>40000000</v>
      </c>
      <c r="P256" s="661"/>
      <c r="Q256" s="630" t="s">
        <v>200</v>
      </c>
    </row>
    <row r="257" spans="1:17" x14ac:dyDescent="0.25">
      <c r="A257" s="661"/>
      <c r="B257" s="661">
        <v>2.0099999999999998</v>
      </c>
      <c r="C257" s="663" t="s">
        <v>1811</v>
      </c>
      <c r="D257" s="661"/>
      <c r="E257" s="661"/>
      <c r="F257" s="661"/>
      <c r="G257" s="661"/>
      <c r="H257" s="661"/>
      <c r="I257" s="661"/>
      <c r="J257" s="661"/>
      <c r="K257" s="661"/>
      <c r="L257" s="661" t="s">
        <v>3179</v>
      </c>
      <c r="M257" s="661" t="s">
        <v>401</v>
      </c>
      <c r="N257" s="757">
        <v>4200000</v>
      </c>
      <c r="O257" s="757"/>
      <c r="P257" s="661"/>
      <c r="Q257" s="630"/>
    </row>
    <row r="258" spans="1:17" ht="30" x14ac:dyDescent="0.25">
      <c r="A258" s="661"/>
      <c r="B258" s="661">
        <v>2.0099999999999998</v>
      </c>
      <c r="C258" s="663" t="s">
        <v>1811</v>
      </c>
      <c r="D258" s="661"/>
      <c r="E258" s="661"/>
      <c r="F258" s="661"/>
      <c r="G258" s="661"/>
      <c r="H258" s="661"/>
      <c r="I258" s="661"/>
      <c r="J258" s="661"/>
      <c r="K258" s="661"/>
      <c r="L258" s="661" t="s">
        <v>3180</v>
      </c>
      <c r="M258" s="661" t="s">
        <v>3181</v>
      </c>
      <c r="N258" s="661"/>
      <c r="O258" s="757">
        <f>15*3000000</f>
        <v>45000000</v>
      </c>
      <c r="P258" s="661"/>
      <c r="Q258" s="630" t="s">
        <v>200</v>
      </c>
    </row>
    <row r="259" spans="1:17" ht="30" x14ac:dyDescent="0.25">
      <c r="A259" s="661"/>
      <c r="B259" s="661">
        <v>2.0099999999999998</v>
      </c>
      <c r="C259" s="663" t="s">
        <v>2673</v>
      </c>
      <c r="D259" s="661"/>
      <c r="E259" s="661"/>
      <c r="F259" s="661"/>
      <c r="G259" s="661"/>
      <c r="H259" s="661"/>
      <c r="I259" s="661"/>
      <c r="J259" s="661"/>
      <c r="K259" s="661"/>
      <c r="L259" s="661" t="s">
        <v>3182</v>
      </c>
      <c r="M259" s="661" t="s">
        <v>3183</v>
      </c>
      <c r="N259" s="661"/>
      <c r="O259" s="757">
        <f>500*400000</f>
        <v>200000000</v>
      </c>
      <c r="P259" s="661"/>
      <c r="Q259" s="630" t="s">
        <v>200</v>
      </c>
    </row>
    <row r="260" spans="1:17" x14ac:dyDescent="0.25">
      <c r="A260" s="661"/>
      <c r="B260" s="661">
        <v>2.0099999999999998</v>
      </c>
      <c r="C260" s="663" t="s">
        <v>1811</v>
      </c>
      <c r="D260" s="630" t="s">
        <v>3184</v>
      </c>
      <c r="E260" s="630" t="s">
        <v>3185</v>
      </c>
      <c r="F260" s="630" t="s">
        <v>3162</v>
      </c>
      <c r="G260" s="630" t="s">
        <v>49</v>
      </c>
      <c r="H260" s="630" t="s">
        <v>49</v>
      </c>
      <c r="I260" s="630" t="s">
        <v>49</v>
      </c>
      <c r="J260" s="630" t="s">
        <v>49</v>
      </c>
      <c r="K260" s="630" t="s">
        <v>49</v>
      </c>
      <c r="L260" s="630" t="s">
        <v>3163</v>
      </c>
      <c r="M260" s="752" t="s">
        <v>1566</v>
      </c>
      <c r="N260" s="630"/>
      <c r="O260" s="757">
        <f>10*3000000</f>
        <v>30000000</v>
      </c>
      <c r="P260" s="630"/>
      <c r="Q260" s="630" t="s">
        <v>200</v>
      </c>
    </row>
    <row r="261" spans="1:17" x14ac:dyDescent="0.25">
      <c r="A261" s="661"/>
      <c r="B261" s="661">
        <v>2.0099999999999998</v>
      </c>
      <c r="C261" s="661"/>
      <c r="D261" s="630"/>
      <c r="E261" s="630"/>
      <c r="F261" s="630"/>
      <c r="G261" s="630"/>
      <c r="H261" s="630"/>
      <c r="I261" s="630"/>
      <c r="J261" s="630"/>
      <c r="K261" s="630"/>
      <c r="L261" s="630" t="s">
        <v>3186</v>
      </c>
      <c r="M261" s="752" t="s">
        <v>1515</v>
      </c>
      <c r="N261" s="630"/>
      <c r="O261" s="757">
        <f>4*3000000</f>
        <v>12000000</v>
      </c>
      <c r="P261" s="630"/>
      <c r="Q261" s="630" t="s">
        <v>200</v>
      </c>
    </row>
    <row r="262" spans="1:17" ht="60" x14ac:dyDescent="0.25">
      <c r="A262" s="661">
        <v>5</v>
      </c>
      <c r="B262" s="661">
        <v>2.09</v>
      </c>
      <c r="C262" s="663" t="s">
        <v>3187</v>
      </c>
      <c r="D262" s="661" t="s">
        <v>3188</v>
      </c>
      <c r="E262" s="661" t="s">
        <v>2924</v>
      </c>
      <c r="F262" s="661"/>
      <c r="G262" s="661"/>
      <c r="H262" s="661"/>
      <c r="I262" s="661"/>
      <c r="J262" s="661"/>
      <c r="K262" s="661"/>
      <c r="L262" s="663" t="s">
        <v>3147</v>
      </c>
      <c r="M262" s="663" t="s">
        <v>3189</v>
      </c>
      <c r="N262" s="661"/>
      <c r="O262" s="757">
        <f>28*1250000</f>
        <v>35000000</v>
      </c>
      <c r="P262" s="661"/>
      <c r="Q262" s="666" t="s">
        <v>200</v>
      </c>
    </row>
    <row r="263" spans="1:17" ht="30" customHeight="1" x14ac:dyDescent="0.25">
      <c r="A263" s="630"/>
      <c r="B263" s="752">
        <v>2.0699999999999998</v>
      </c>
      <c r="C263" s="630"/>
      <c r="D263" s="630"/>
      <c r="E263" s="630"/>
      <c r="F263" s="661"/>
      <c r="G263" s="661"/>
      <c r="H263" s="661"/>
      <c r="I263" s="661"/>
      <c r="J263" s="661"/>
      <c r="K263" s="661"/>
      <c r="L263" s="661" t="s">
        <v>3190</v>
      </c>
      <c r="M263" s="661" t="s">
        <v>292</v>
      </c>
      <c r="N263" s="757">
        <v>3000000</v>
      </c>
      <c r="O263" s="661"/>
      <c r="P263" s="661"/>
      <c r="Q263" s="661"/>
    </row>
    <row r="264" spans="1:17" ht="27" customHeight="1" x14ac:dyDescent="0.25">
      <c r="A264" s="661"/>
      <c r="B264" s="661">
        <v>2.09</v>
      </c>
      <c r="C264" s="661"/>
      <c r="D264" s="663" t="s">
        <v>3191</v>
      </c>
      <c r="E264" s="661" t="s">
        <v>2924</v>
      </c>
      <c r="F264" s="661"/>
      <c r="G264" s="661"/>
      <c r="H264" s="661"/>
      <c r="I264" s="661"/>
      <c r="J264" s="661"/>
      <c r="K264" s="661"/>
      <c r="L264" s="661" t="s">
        <v>3137</v>
      </c>
      <c r="M264" s="661" t="s">
        <v>1704</v>
      </c>
      <c r="N264" s="661"/>
      <c r="O264" s="757">
        <f>8*4870000</f>
        <v>38960000</v>
      </c>
      <c r="P264" s="661"/>
      <c r="Q264" s="756" t="s">
        <v>2562</v>
      </c>
    </row>
    <row r="265" spans="1:17" ht="30" x14ac:dyDescent="0.25">
      <c r="A265" s="661"/>
      <c r="B265" s="752">
        <v>2.0699999999999998</v>
      </c>
      <c r="C265" s="756"/>
      <c r="D265" s="661" t="s">
        <v>3188</v>
      </c>
      <c r="E265" s="661" t="s">
        <v>2924</v>
      </c>
      <c r="F265" s="661"/>
      <c r="G265" s="661"/>
      <c r="H265" s="661"/>
      <c r="I265" s="661"/>
      <c r="J265" s="661"/>
      <c r="K265" s="661"/>
      <c r="L265" s="661" t="s">
        <v>3192</v>
      </c>
      <c r="M265" s="661" t="s">
        <v>401</v>
      </c>
      <c r="N265" s="661"/>
      <c r="O265" s="757">
        <f>2*4870000</f>
        <v>9740000</v>
      </c>
      <c r="P265" s="661"/>
      <c r="Q265" s="756" t="s">
        <v>2562</v>
      </c>
    </row>
    <row r="266" spans="1:17" x14ac:dyDescent="0.25">
      <c r="A266" s="661"/>
      <c r="B266" s="752">
        <v>2.0699999999999998</v>
      </c>
      <c r="C266" s="756"/>
      <c r="D266" s="661"/>
      <c r="E266" s="661"/>
      <c r="F266" s="661"/>
      <c r="G266" s="661"/>
      <c r="H266" s="661"/>
      <c r="I266" s="661"/>
      <c r="J266" s="661"/>
      <c r="K266" s="661"/>
      <c r="L266" s="661" t="s">
        <v>3193</v>
      </c>
      <c r="M266" s="661" t="s">
        <v>514</v>
      </c>
      <c r="N266" s="661"/>
      <c r="O266" s="757">
        <f>3*4870000</f>
        <v>14610000</v>
      </c>
      <c r="P266" s="661"/>
      <c r="Q266" s="756" t="s">
        <v>2562</v>
      </c>
    </row>
    <row r="267" spans="1:17" x14ac:dyDescent="0.25">
      <c r="A267" s="661"/>
      <c r="B267" s="752">
        <v>2.0699999999999998</v>
      </c>
      <c r="C267" s="756"/>
      <c r="D267" s="661"/>
      <c r="E267" s="661"/>
      <c r="F267" s="661"/>
      <c r="G267" s="661"/>
      <c r="H267" s="661"/>
      <c r="I267" s="661"/>
      <c r="J267" s="661"/>
      <c r="K267" s="661"/>
      <c r="L267" s="661" t="s">
        <v>3144</v>
      </c>
      <c r="M267" s="646" t="s">
        <v>1566</v>
      </c>
      <c r="N267" s="661"/>
      <c r="O267" s="757">
        <f>10*4870000</f>
        <v>48700000</v>
      </c>
      <c r="P267" s="661"/>
      <c r="Q267" s="630" t="s">
        <v>200</v>
      </c>
    </row>
    <row r="268" spans="1:17" ht="30" x14ac:dyDescent="0.25">
      <c r="A268" s="661"/>
      <c r="B268" s="752">
        <v>2.0699999999999998</v>
      </c>
      <c r="C268" s="756"/>
      <c r="D268" s="661"/>
      <c r="E268" s="661"/>
      <c r="F268" s="661"/>
      <c r="G268" s="661"/>
      <c r="H268" s="661"/>
      <c r="I268" s="661"/>
      <c r="J268" s="661"/>
      <c r="K268" s="661"/>
      <c r="L268" s="661" t="s">
        <v>3194</v>
      </c>
      <c r="M268" s="646" t="s">
        <v>1781</v>
      </c>
      <c r="N268" s="661"/>
      <c r="O268" s="757">
        <f>6*4870000</f>
        <v>29220000</v>
      </c>
      <c r="P268" s="661"/>
      <c r="Q268" s="630" t="s">
        <v>200</v>
      </c>
    </row>
    <row r="269" spans="1:17" x14ac:dyDescent="0.25">
      <c r="A269" s="661"/>
      <c r="B269" s="752">
        <v>2.0699999999999998</v>
      </c>
      <c r="C269" s="756"/>
      <c r="D269" s="661"/>
      <c r="E269" s="661"/>
      <c r="F269" s="661"/>
      <c r="G269" s="661"/>
      <c r="H269" s="661"/>
      <c r="I269" s="661"/>
      <c r="J269" s="661"/>
      <c r="K269" s="661"/>
      <c r="L269" s="661" t="s">
        <v>3145</v>
      </c>
      <c r="M269" s="646" t="s">
        <v>1515</v>
      </c>
      <c r="N269" s="661"/>
      <c r="O269" s="757">
        <f>4*4870000</f>
        <v>19480000</v>
      </c>
      <c r="P269" s="661"/>
      <c r="Q269" s="630" t="s">
        <v>200</v>
      </c>
    </row>
    <row r="270" spans="1:17" x14ac:dyDescent="0.25">
      <c r="A270" s="661">
        <v>6</v>
      </c>
      <c r="B270" s="645">
        <v>26.13</v>
      </c>
      <c r="C270" s="661" t="s">
        <v>325</v>
      </c>
      <c r="D270" s="661" t="s">
        <v>3195</v>
      </c>
      <c r="E270" s="661"/>
      <c r="F270" s="661"/>
      <c r="G270" s="661"/>
      <c r="H270" s="661"/>
      <c r="I270" s="661"/>
      <c r="J270" s="661"/>
      <c r="K270" s="661"/>
      <c r="L270" s="661" t="s">
        <v>3196</v>
      </c>
      <c r="M270" s="661" t="s">
        <v>3197</v>
      </c>
      <c r="N270" s="661"/>
      <c r="O270" s="757">
        <f>105*200000</f>
        <v>21000000</v>
      </c>
      <c r="P270" s="661"/>
      <c r="Q270" s="630" t="s">
        <v>200</v>
      </c>
    </row>
    <row r="271" spans="1:17" ht="17.25" x14ac:dyDescent="0.25">
      <c r="A271" s="661"/>
      <c r="B271" s="645">
        <v>26.13</v>
      </c>
      <c r="C271" s="661"/>
      <c r="D271" s="661"/>
      <c r="E271" s="661"/>
      <c r="F271" s="661"/>
      <c r="G271" s="661"/>
      <c r="H271" s="661"/>
      <c r="I271" s="661"/>
      <c r="J271" s="661"/>
      <c r="K271" s="661"/>
      <c r="L271" s="663" t="s">
        <v>3172</v>
      </c>
      <c r="M271" s="661" t="s">
        <v>3198</v>
      </c>
      <c r="N271" s="661"/>
      <c r="O271" s="757">
        <f>360*200000</f>
        <v>72000000</v>
      </c>
      <c r="P271" s="661"/>
      <c r="Q271" s="630" t="s">
        <v>200</v>
      </c>
    </row>
    <row r="272" spans="1:17" ht="17.25" x14ac:dyDescent="0.25">
      <c r="A272" s="661"/>
      <c r="B272" s="645">
        <v>26.13</v>
      </c>
      <c r="C272" s="661"/>
      <c r="D272" s="661"/>
      <c r="E272" s="661"/>
      <c r="F272" s="661"/>
      <c r="G272" s="661"/>
      <c r="H272" s="661"/>
      <c r="I272" s="661"/>
      <c r="J272" s="661"/>
      <c r="K272" s="661"/>
      <c r="L272" s="663" t="s">
        <v>3139</v>
      </c>
      <c r="M272" s="661" t="s">
        <v>3199</v>
      </c>
      <c r="N272" s="661"/>
      <c r="O272" s="757">
        <f>56*200000</f>
        <v>11200000</v>
      </c>
      <c r="P272" s="661"/>
      <c r="Q272" s="630" t="s">
        <v>200</v>
      </c>
    </row>
    <row r="273" spans="1:17" ht="17.25" x14ac:dyDescent="0.25">
      <c r="A273" s="661"/>
      <c r="B273" s="645">
        <v>26.13</v>
      </c>
      <c r="C273" s="661"/>
      <c r="D273" s="661"/>
      <c r="E273" s="661"/>
      <c r="F273" s="661"/>
      <c r="G273" s="661"/>
      <c r="H273" s="661"/>
      <c r="I273" s="661"/>
      <c r="J273" s="661"/>
      <c r="K273" s="661"/>
      <c r="L273" s="661" t="s">
        <v>3200</v>
      </c>
      <c r="M273" s="661" t="s">
        <v>3201</v>
      </c>
      <c r="N273" s="661"/>
      <c r="O273" s="757">
        <v>40000000</v>
      </c>
      <c r="P273" s="661"/>
      <c r="Q273" s="630" t="s">
        <v>200</v>
      </c>
    </row>
    <row r="274" spans="1:17" ht="17.25" x14ac:dyDescent="0.25">
      <c r="A274" s="661"/>
      <c r="B274" s="645">
        <v>26.13</v>
      </c>
      <c r="C274" s="661"/>
      <c r="D274" s="661"/>
      <c r="E274" s="661"/>
      <c r="F274" s="661"/>
      <c r="G274" s="661"/>
      <c r="H274" s="661"/>
      <c r="I274" s="661"/>
      <c r="J274" s="661"/>
      <c r="K274" s="661"/>
      <c r="L274" s="661" t="s">
        <v>3202</v>
      </c>
      <c r="M274" s="661" t="s">
        <v>3203</v>
      </c>
      <c r="N274" s="661"/>
      <c r="O274" s="757">
        <f>490*200000</f>
        <v>98000000</v>
      </c>
      <c r="P274" s="661"/>
      <c r="Q274" s="630" t="s">
        <v>200</v>
      </c>
    </row>
    <row r="275" spans="1:17" ht="17.25" x14ac:dyDescent="0.25">
      <c r="A275" s="661"/>
      <c r="B275" s="645">
        <v>26.13</v>
      </c>
      <c r="C275" s="661"/>
      <c r="D275" s="661"/>
      <c r="E275" s="661"/>
      <c r="F275" s="661"/>
      <c r="G275" s="661"/>
      <c r="H275" s="661"/>
      <c r="I275" s="661"/>
      <c r="J275" s="661"/>
      <c r="K275" s="661"/>
      <c r="L275" s="661" t="s">
        <v>3204</v>
      </c>
      <c r="M275" s="661" t="s">
        <v>3205</v>
      </c>
      <c r="N275" s="661"/>
      <c r="O275" s="757">
        <f>400*200000</f>
        <v>80000000</v>
      </c>
      <c r="P275" s="661"/>
      <c r="Q275" s="630" t="s">
        <v>200</v>
      </c>
    </row>
    <row r="276" spans="1:17" x14ac:dyDescent="0.25">
      <c r="A276" s="661"/>
      <c r="B276" s="645">
        <v>26.13</v>
      </c>
      <c r="C276" s="661"/>
      <c r="D276" s="759" t="s">
        <v>3206</v>
      </c>
      <c r="E276" s="759" t="s">
        <v>3207</v>
      </c>
      <c r="F276" s="759" t="s">
        <v>3162</v>
      </c>
      <c r="G276" s="630" t="s">
        <v>49</v>
      </c>
      <c r="H276" s="630" t="s">
        <v>49</v>
      </c>
      <c r="I276" s="630" t="s">
        <v>49</v>
      </c>
      <c r="J276" s="630" t="s">
        <v>49</v>
      </c>
      <c r="K276" s="630" t="s">
        <v>49</v>
      </c>
      <c r="L276" s="630" t="s">
        <v>3163</v>
      </c>
      <c r="M276" s="646" t="s">
        <v>3208</v>
      </c>
      <c r="N276" s="630"/>
      <c r="O276" s="758">
        <f>450*50000</f>
        <v>22500000</v>
      </c>
      <c r="P276" s="630"/>
      <c r="Q276" s="630" t="s">
        <v>200</v>
      </c>
    </row>
    <row r="277" spans="1:17" x14ac:dyDescent="0.25">
      <c r="A277" s="661"/>
      <c r="B277" s="645">
        <v>26.13</v>
      </c>
      <c r="C277" s="661"/>
      <c r="D277" s="759" t="s">
        <v>3206</v>
      </c>
      <c r="E277" s="759" t="s">
        <v>3207</v>
      </c>
      <c r="F277" s="759" t="s">
        <v>3162</v>
      </c>
      <c r="G277" s="630" t="s">
        <v>49</v>
      </c>
      <c r="H277" s="630" t="s">
        <v>49</v>
      </c>
      <c r="I277" s="630" t="s">
        <v>49</v>
      </c>
      <c r="J277" s="630" t="s">
        <v>49</v>
      </c>
      <c r="K277" s="630" t="s">
        <v>49</v>
      </c>
      <c r="L277" s="630" t="s">
        <v>3163</v>
      </c>
      <c r="M277" s="646" t="s">
        <v>3208</v>
      </c>
      <c r="N277" s="630"/>
      <c r="O277" s="758">
        <f>450*50000</f>
        <v>22500000</v>
      </c>
      <c r="P277" s="630"/>
      <c r="Q277" s="630" t="s">
        <v>200</v>
      </c>
    </row>
    <row r="278" spans="1:17" x14ac:dyDescent="0.25">
      <c r="A278" s="661"/>
      <c r="B278" s="645">
        <v>26.13</v>
      </c>
      <c r="C278" s="661"/>
      <c r="D278" s="759" t="s">
        <v>3206</v>
      </c>
      <c r="E278" s="759"/>
      <c r="F278" s="759"/>
      <c r="G278" s="630"/>
      <c r="H278" s="630"/>
      <c r="I278" s="630"/>
      <c r="J278" s="630"/>
      <c r="K278" s="630"/>
      <c r="L278" s="630" t="s">
        <v>3209</v>
      </c>
      <c r="M278" s="646" t="s">
        <v>3210</v>
      </c>
      <c r="N278" s="630"/>
      <c r="O278" s="758">
        <f>100*50000</f>
        <v>5000000</v>
      </c>
      <c r="P278" s="630"/>
      <c r="Q278" s="630" t="s">
        <v>200</v>
      </c>
    </row>
    <row r="279" spans="1:17" x14ac:dyDescent="0.25">
      <c r="A279" s="661"/>
      <c r="B279" s="661"/>
      <c r="C279" s="661"/>
      <c r="D279" s="759"/>
      <c r="E279" s="759"/>
      <c r="F279" s="759"/>
      <c r="G279" s="630"/>
      <c r="H279" s="630"/>
      <c r="I279" s="630"/>
      <c r="J279" s="630"/>
      <c r="K279" s="630"/>
      <c r="L279" s="630"/>
      <c r="M279" s="630"/>
      <c r="N279" s="630"/>
      <c r="O279" s="758"/>
      <c r="P279" s="630"/>
      <c r="Q279" s="630"/>
    </row>
    <row r="280" spans="1:17" ht="45" x14ac:dyDescent="0.25">
      <c r="A280" s="661">
        <v>7</v>
      </c>
      <c r="B280" s="661"/>
      <c r="C280" s="661" t="s">
        <v>3211</v>
      </c>
      <c r="D280" s="756" t="s">
        <v>3212</v>
      </c>
      <c r="E280" s="661" t="s">
        <v>3213</v>
      </c>
      <c r="F280" s="661"/>
      <c r="G280" s="661"/>
      <c r="H280" s="661"/>
      <c r="I280" s="661"/>
      <c r="J280" s="661"/>
      <c r="K280" s="661"/>
      <c r="L280" s="661" t="s">
        <v>3137</v>
      </c>
      <c r="M280" s="661" t="s">
        <v>352</v>
      </c>
      <c r="N280" s="757">
        <v>5000000</v>
      </c>
      <c r="O280" s="661"/>
      <c r="P280" s="661"/>
      <c r="Q280" s="661"/>
    </row>
    <row r="281" spans="1:17" ht="60" x14ac:dyDescent="0.25">
      <c r="A281" s="661">
        <v>8</v>
      </c>
      <c r="B281" s="661">
        <v>26.14</v>
      </c>
      <c r="C281" s="661" t="s">
        <v>3214</v>
      </c>
      <c r="D281" s="661" t="s">
        <v>3215</v>
      </c>
      <c r="E281" s="661" t="s">
        <v>3216</v>
      </c>
      <c r="F281" s="661" t="s">
        <v>3217</v>
      </c>
      <c r="G281" s="661"/>
      <c r="H281" s="661"/>
      <c r="I281" s="661"/>
      <c r="J281" s="661"/>
      <c r="K281" s="661"/>
      <c r="L281" s="663" t="s">
        <v>3218</v>
      </c>
      <c r="M281" s="661" t="s">
        <v>1205</v>
      </c>
      <c r="N281" s="661"/>
      <c r="O281" s="757">
        <f>3*2500000</f>
        <v>7500000</v>
      </c>
      <c r="P281" s="661"/>
      <c r="Q281" s="663" t="s">
        <v>948</v>
      </c>
    </row>
    <row r="282" spans="1:17" x14ac:dyDescent="0.25">
      <c r="A282" s="661"/>
      <c r="B282" s="661">
        <v>26.14</v>
      </c>
      <c r="C282" s="661"/>
      <c r="D282" s="661"/>
      <c r="E282" s="661"/>
      <c r="F282" s="661"/>
      <c r="G282" s="661"/>
      <c r="H282" s="661"/>
      <c r="I282" s="661"/>
      <c r="J282" s="661"/>
      <c r="K282" s="661"/>
      <c r="L282" s="663" t="s">
        <v>3172</v>
      </c>
      <c r="M282" s="661" t="s">
        <v>292</v>
      </c>
      <c r="N282" s="661"/>
      <c r="O282" s="757">
        <f>1*2500000</f>
        <v>2500000</v>
      </c>
      <c r="P282" s="661"/>
      <c r="Q282" s="663" t="s">
        <v>948</v>
      </c>
    </row>
    <row r="283" spans="1:17" x14ac:dyDescent="0.25">
      <c r="A283" s="661"/>
      <c r="B283" s="661">
        <v>26.14</v>
      </c>
      <c r="C283" s="661"/>
      <c r="D283" s="661"/>
      <c r="E283" s="661"/>
      <c r="F283" s="661"/>
      <c r="G283" s="661"/>
      <c r="H283" s="661"/>
      <c r="I283" s="661"/>
      <c r="J283" s="661"/>
      <c r="K283" s="661"/>
      <c r="L283" s="663" t="s">
        <v>3139</v>
      </c>
      <c r="M283" s="661" t="s">
        <v>199</v>
      </c>
      <c r="N283" s="661"/>
      <c r="O283" s="757">
        <f>5*2500000</f>
        <v>12500000</v>
      </c>
      <c r="P283" s="661"/>
      <c r="Q283" s="663" t="s">
        <v>948</v>
      </c>
    </row>
    <row r="284" spans="1:17" x14ac:dyDescent="0.25">
      <c r="A284" s="661"/>
      <c r="B284" s="661">
        <v>26.14</v>
      </c>
      <c r="C284" s="661"/>
      <c r="D284" s="661"/>
      <c r="E284" s="661"/>
      <c r="F284" s="661"/>
      <c r="G284" s="661"/>
      <c r="H284" s="661"/>
      <c r="I284" s="661"/>
      <c r="J284" s="661"/>
      <c r="K284" s="661"/>
      <c r="L284" s="661" t="s">
        <v>3219</v>
      </c>
      <c r="M284" s="661" t="s">
        <v>917</v>
      </c>
      <c r="N284" s="661"/>
      <c r="O284" s="757">
        <f>4*2500000</f>
        <v>10000000</v>
      </c>
      <c r="P284" s="661"/>
      <c r="Q284" s="663" t="s">
        <v>948</v>
      </c>
    </row>
    <row r="285" spans="1:17" x14ac:dyDescent="0.25">
      <c r="A285" s="661"/>
      <c r="B285" s="661">
        <v>26.14</v>
      </c>
      <c r="C285" s="661"/>
      <c r="D285" s="661"/>
      <c r="E285" s="661"/>
      <c r="F285" s="661"/>
      <c r="G285" s="661"/>
      <c r="H285" s="661"/>
      <c r="I285" s="661"/>
      <c r="J285" s="661"/>
      <c r="K285" s="661"/>
      <c r="L285" s="661" t="s">
        <v>3220</v>
      </c>
      <c r="M285" s="661" t="s">
        <v>292</v>
      </c>
      <c r="N285" s="661"/>
      <c r="O285" s="757">
        <f>1*2500000</f>
        <v>2500000</v>
      </c>
      <c r="P285" s="661"/>
      <c r="Q285" s="663" t="s">
        <v>948</v>
      </c>
    </row>
    <row r="286" spans="1:17" x14ac:dyDescent="0.25">
      <c r="A286" s="661"/>
      <c r="B286" s="661">
        <v>26.14</v>
      </c>
      <c r="C286" s="661"/>
      <c r="D286" s="661"/>
      <c r="E286" s="661"/>
      <c r="F286" s="661"/>
      <c r="G286" s="661"/>
      <c r="H286" s="661"/>
      <c r="I286" s="661"/>
      <c r="J286" s="661"/>
      <c r="K286" s="661"/>
      <c r="L286" s="661" t="s">
        <v>3221</v>
      </c>
      <c r="M286" s="661" t="s">
        <v>352</v>
      </c>
      <c r="N286" s="661"/>
      <c r="O286" s="757">
        <f>2*2500000</f>
        <v>5000000</v>
      </c>
      <c r="P286" s="661"/>
      <c r="Q286" s="663" t="s">
        <v>948</v>
      </c>
    </row>
    <row r="287" spans="1:17" ht="30" x14ac:dyDescent="0.25">
      <c r="A287" s="661">
        <v>9</v>
      </c>
      <c r="B287" s="661">
        <v>26.03</v>
      </c>
      <c r="C287" s="661" t="s">
        <v>3222</v>
      </c>
      <c r="D287" s="661" t="s">
        <v>3223</v>
      </c>
      <c r="E287" s="756" t="s">
        <v>3224</v>
      </c>
      <c r="F287" s="661" t="s">
        <v>152</v>
      </c>
      <c r="G287" s="661"/>
      <c r="H287" s="661"/>
      <c r="I287" s="661"/>
      <c r="J287" s="661"/>
      <c r="K287" s="661"/>
      <c r="L287" s="755" t="s">
        <v>3225</v>
      </c>
      <c r="M287" s="661" t="s">
        <v>292</v>
      </c>
      <c r="N287" s="661"/>
      <c r="O287" s="757">
        <f>6*3750000</f>
        <v>22500000</v>
      </c>
      <c r="P287" s="661"/>
      <c r="Q287" s="739" t="s">
        <v>200</v>
      </c>
    </row>
    <row r="288" spans="1:17" ht="30" x14ac:dyDescent="0.25">
      <c r="A288" s="661">
        <v>10</v>
      </c>
      <c r="B288" s="661">
        <v>26.03</v>
      </c>
      <c r="C288" s="661" t="s">
        <v>3226</v>
      </c>
      <c r="D288" s="661"/>
      <c r="E288" s="661"/>
      <c r="F288" s="661"/>
      <c r="G288" s="661"/>
      <c r="H288" s="661"/>
      <c r="I288" s="661"/>
      <c r="J288" s="661"/>
      <c r="K288" s="661"/>
      <c r="L288" s="663" t="s">
        <v>3139</v>
      </c>
      <c r="M288" s="661"/>
      <c r="N288" s="661"/>
      <c r="O288" s="757">
        <f>6*3750000</f>
        <v>22500000</v>
      </c>
      <c r="P288" s="661"/>
      <c r="Q288" s="739" t="s">
        <v>200</v>
      </c>
    </row>
    <row r="289" spans="1:17" ht="30" x14ac:dyDescent="0.25">
      <c r="A289" s="661"/>
      <c r="B289" s="661">
        <v>26.03</v>
      </c>
      <c r="C289" s="661"/>
      <c r="D289" s="661" t="s">
        <v>3227</v>
      </c>
      <c r="E289" s="661" t="s">
        <v>3228</v>
      </c>
      <c r="F289" s="661" t="s">
        <v>152</v>
      </c>
      <c r="G289" s="661"/>
      <c r="H289" s="661"/>
      <c r="I289" s="661"/>
      <c r="J289" s="661"/>
      <c r="K289" s="661"/>
      <c r="L289" s="661" t="s">
        <v>3229</v>
      </c>
      <c r="M289" s="661" t="s">
        <v>3230</v>
      </c>
      <c r="N289" s="661"/>
      <c r="O289" s="757">
        <f>200*350000</f>
        <v>70000000</v>
      </c>
      <c r="P289" s="661"/>
      <c r="Q289" s="739" t="s">
        <v>200</v>
      </c>
    </row>
    <row r="290" spans="1:17" s="713" customFormat="1" x14ac:dyDescent="0.25">
      <c r="A290" s="760"/>
      <c r="B290" s="760"/>
      <c r="C290" s="760"/>
      <c r="D290" s="761" t="s">
        <v>3231</v>
      </c>
      <c r="E290" s="761"/>
      <c r="F290" s="760"/>
      <c r="G290" s="760"/>
      <c r="H290" s="760"/>
      <c r="I290" s="760"/>
      <c r="J290" s="760"/>
      <c r="K290" s="760"/>
      <c r="L290" s="761" t="s">
        <v>3232</v>
      </c>
      <c r="M290" s="762" t="s">
        <v>2614</v>
      </c>
      <c r="N290" s="761"/>
      <c r="O290" s="763">
        <v>90000000</v>
      </c>
      <c r="P290" s="761"/>
      <c r="Q290" s="761" t="s">
        <v>200</v>
      </c>
    </row>
    <row r="291" spans="1:17" s="713" customFormat="1" ht="17.25" x14ac:dyDescent="0.25">
      <c r="A291" s="760">
        <v>11</v>
      </c>
      <c r="B291" s="760"/>
      <c r="C291" s="760" t="s">
        <v>3233</v>
      </c>
      <c r="D291" s="760"/>
      <c r="E291" s="760"/>
      <c r="F291" s="760"/>
      <c r="G291" s="760"/>
      <c r="H291" s="760"/>
      <c r="I291" s="760"/>
      <c r="J291" s="760"/>
      <c r="K291" s="760"/>
      <c r="L291" s="760" t="s">
        <v>3234</v>
      </c>
      <c r="M291" s="760" t="s">
        <v>3183</v>
      </c>
      <c r="N291" s="760"/>
      <c r="O291" s="764">
        <f>500*400000</f>
        <v>200000000</v>
      </c>
      <c r="P291" s="760"/>
      <c r="Q291" s="765" t="s">
        <v>200</v>
      </c>
    </row>
    <row r="292" spans="1:17" s="713" customFormat="1" ht="17.25" x14ac:dyDescent="0.25">
      <c r="A292" s="760"/>
      <c r="B292" s="760"/>
      <c r="C292" s="760"/>
      <c r="D292" s="760"/>
      <c r="E292" s="760"/>
      <c r="F292" s="760"/>
      <c r="G292" s="760"/>
      <c r="H292" s="760"/>
      <c r="I292" s="760"/>
      <c r="J292" s="760"/>
      <c r="K292" s="760"/>
      <c r="L292" s="760" t="s">
        <v>3179</v>
      </c>
      <c r="M292" s="760" t="s">
        <v>3235</v>
      </c>
      <c r="N292" s="760"/>
      <c r="O292" s="764">
        <f>150*400000</f>
        <v>60000000</v>
      </c>
      <c r="P292" s="760"/>
      <c r="Q292" s="765" t="s">
        <v>200</v>
      </c>
    </row>
    <row r="293" spans="1:17" s="713" customFormat="1" x14ac:dyDescent="0.25">
      <c r="A293" s="760"/>
      <c r="B293" s="760"/>
      <c r="C293" s="761"/>
      <c r="D293" s="760" t="s">
        <v>3236</v>
      </c>
      <c r="E293" s="760"/>
      <c r="F293" s="760"/>
      <c r="G293" s="760"/>
      <c r="H293" s="760"/>
      <c r="I293" s="760"/>
      <c r="J293" s="760"/>
      <c r="K293" s="760"/>
      <c r="L293" s="760" t="s">
        <v>3237</v>
      </c>
      <c r="M293" s="760" t="s">
        <v>569</v>
      </c>
      <c r="N293" s="760"/>
      <c r="O293" s="764">
        <f>150*400000</f>
        <v>60000000</v>
      </c>
      <c r="P293" s="760"/>
      <c r="Q293" s="765" t="s">
        <v>200</v>
      </c>
    </row>
    <row r="294" spans="1:17" s="713" customFormat="1" ht="30" x14ac:dyDescent="0.25">
      <c r="A294" s="760"/>
      <c r="B294" s="760"/>
      <c r="C294" s="761"/>
      <c r="D294" s="760" t="s">
        <v>3238</v>
      </c>
      <c r="E294" s="760" t="s">
        <v>3239</v>
      </c>
      <c r="F294" s="760"/>
      <c r="G294" s="760"/>
      <c r="H294" s="760"/>
      <c r="I294" s="760"/>
      <c r="J294" s="760"/>
      <c r="K294" s="760"/>
      <c r="L294" s="760" t="s">
        <v>3240</v>
      </c>
      <c r="M294" s="760" t="s">
        <v>3241</v>
      </c>
      <c r="N294" s="760"/>
      <c r="O294" s="764">
        <f>600*100000</f>
        <v>60000000</v>
      </c>
      <c r="P294" s="760"/>
      <c r="Q294" s="765" t="s">
        <v>200</v>
      </c>
    </row>
    <row r="295" spans="1:17" s="713" customFormat="1" ht="17.25" x14ac:dyDescent="0.25">
      <c r="A295" s="760"/>
      <c r="B295" s="760"/>
      <c r="C295" s="761"/>
      <c r="D295" s="760" t="s">
        <v>3242</v>
      </c>
      <c r="E295" s="760"/>
      <c r="F295" s="760"/>
      <c r="G295" s="760"/>
      <c r="H295" s="760"/>
      <c r="I295" s="760"/>
      <c r="J295" s="760"/>
      <c r="K295" s="760"/>
      <c r="L295" s="760" t="s">
        <v>3159</v>
      </c>
      <c r="M295" s="760" t="s">
        <v>3183</v>
      </c>
      <c r="N295" s="760"/>
      <c r="O295" s="764">
        <f>500*200000</f>
        <v>100000000</v>
      </c>
      <c r="P295" s="760"/>
      <c r="Q295" s="765" t="s">
        <v>200</v>
      </c>
    </row>
    <row r="296" spans="1:17" s="713" customFormat="1" ht="45" x14ac:dyDescent="0.25">
      <c r="A296" s="760"/>
      <c r="B296" s="760"/>
      <c r="C296" s="761"/>
      <c r="D296" s="760" t="s">
        <v>3243</v>
      </c>
      <c r="E296" s="760"/>
      <c r="F296" s="760"/>
      <c r="G296" s="760"/>
      <c r="H296" s="760"/>
      <c r="I296" s="760"/>
      <c r="J296" s="760"/>
      <c r="K296" s="760"/>
      <c r="L296" s="760" t="s">
        <v>3244</v>
      </c>
      <c r="M296" s="760" t="s">
        <v>504</v>
      </c>
      <c r="N296" s="760"/>
      <c r="O296" s="764">
        <f>300*3000000</f>
        <v>900000000</v>
      </c>
      <c r="P296" s="760"/>
      <c r="Q296" s="765" t="s">
        <v>200</v>
      </c>
    </row>
    <row r="297" spans="1:17" s="713" customFormat="1" ht="30" x14ac:dyDescent="0.25">
      <c r="A297" s="760"/>
      <c r="B297" s="760"/>
      <c r="C297" s="761"/>
      <c r="D297" s="760" t="s">
        <v>3245</v>
      </c>
      <c r="E297" s="760"/>
      <c r="F297" s="760"/>
      <c r="G297" s="760"/>
      <c r="H297" s="760"/>
      <c r="I297" s="760"/>
      <c r="J297" s="760"/>
      <c r="K297" s="760"/>
      <c r="L297" s="760" t="s">
        <v>3246</v>
      </c>
      <c r="M297" s="760" t="s">
        <v>3247</v>
      </c>
      <c r="N297" s="760"/>
      <c r="O297" s="764">
        <f>150*150000</f>
        <v>22500000</v>
      </c>
      <c r="P297" s="760"/>
      <c r="Q297" s="765" t="s">
        <v>200</v>
      </c>
    </row>
    <row r="298" spans="1:17" s="713" customFormat="1" x14ac:dyDescent="0.25">
      <c r="A298" s="760"/>
      <c r="B298" s="760"/>
      <c r="C298" s="761"/>
      <c r="D298" s="760" t="s">
        <v>3248</v>
      </c>
      <c r="E298" s="760"/>
      <c r="F298" s="760"/>
      <c r="G298" s="760"/>
      <c r="H298" s="760"/>
      <c r="I298" s="760"/>
      <c r="J298" s="760"/>
      <c r="K298" s="760"/>
      <c r="L298" s="760" t="s">
        <v>3249</v>
      </c>
      <c r="M298" s="760" t="s">
        <v>1525</v>
      </c>
      <c r="N298" s="760"/>
      <c r="O298" s="764">
        <f>150*100000</f>
        <v>15000000</v>
      </c>
      <c r="P298" s="760"/>
      <c r="Q298" s="765" t="s">
        <v>200</v>
      </c>
    </row>
    <row r="299" spans="1:17" s="713" customFormat="1" ht="45" x14ac:dyDescent="0.25">
      <c r="A299" s="760">
        <v>12</v>
      </c>
      <c r="B299" s="760">
        <v>27.01</v>
      </c>
      <c r="C299" s="720" t="s">
        <v>3250</v>
      </c>
      <c r="D299" s="760" t="s">
        <v>3251</v>
      </c>
      <c r="E299" s="720" t="s">
        <v>3252</v>
      </c>
      <c r="F299" s="760"/>
      <c r="G299" s="760"/>
      <c r="H299" s="760"/>
      <c r="I299" s="760"/>
      <c r="J299" s="760"/>
      <c r="K299" s="760"/>
      <c r="L299" s="760" t="s">
        <v>3253</v>
      </c>
      <c r="M299" s="760" t="s">
        <v>292</v>
      </c>
      <c r="N299" s="760"/>
      <c r="O299" s="764">
        <f>1*500000</f>
        <v>500000</v>
      </c>
      <c r="P299" s="760"/>
      <c r="Q299" s="765" t="s">
        <v>2768</v>
      </c>
    </row>
    <row r="300" spans="1:17" s="713" customFormat="1" ht="30" x14ac:dyDescent="0.25">
      <c r="A300" s="760"/>
      <c r="B300" s="760"/>
      <c r="C300" s="760"/>
      <c r="D300" s="760"/>
      <c r="E300" s="760"/>
      <c r="F300" s="760"/>
      <c r="G300" s="760"/>
      <c r="H300" s="760"/>
      <c r="I300" s="760"/>
      <c r="J300" s="760"/>
      <c r="K300" s="760"/>
      <c r="L300" s="760" t="s">
        <v>3142</v>
      </c>
      <c r="M300" s="760" t="s">
        <v>3068</v>
      </c>
      <c r="N300" s="760"/>
      <c r="O300" s="764">
        <f>7*500000</f>
        <v>3500000</v>
      </c>
      <c r="P300" s="760"/>
      <c r="Q300" s="765" t="s">
        <v>200</v>
      </c>
    </row>
    <row r="301" spans="1:17" s="713" customFormat="1" ht="30" x14ac:dyDescent="0.25">
      <c r="A301" s="760">
        <v>13</v>
      </c>
      <c r="B301" s="760"/>
      <c r="C301" s="760" t="s">
        <v>3254</v>
      </c>
      <c r="D301" s="760" t="s">
        <v>3255</v>
      </c>
      <c r="E301" s="760" t="s">
        <v>3256</v>
      </c>
      <c r="F301" s="760"/>
      <c r="G301" s="760"/>
      <c r="H301" s="760"/>
      <c r="I301" s="760"/>
      <c r="J301" s="760"/>
      <c r="K301" s="760"/>
      <c r="L301" s="760" t="s">
        <v>3153</v>
      </c>
      <c r="M301" s="760" t="s">
        <v>3257</v>
      </c>
      <c r="N301" s="760"/>
      <c r="O301" s="764">
        <v>15000000</v>
      </c>
      <c r="P301" s="760"/>
      <c r="Q301" s="765" t="s">
        <v>200</v>
      </c>
    </row>
    <row r="302" spans="1:17" s="713" customFormat="1" ht="30" x14ac:dyDescent="0.25">
      <c r="A302" s="760">
        <v>14</v>
      </c>
      <c r="B302" s="760"/>
      <c r="C302" s="760" t="s">
        <v>3034</v>
      </c>
      <c r="D302" s="760" t="s">
        <v>3258</v>
      </c>
      <c r="E302" s="760" t="s">
        <v>3259</v>
      </c>
      <c r="F302" s="760"/>
      <c r="G302" s="760"/>
      <c r="H302" s="760"/>
      <c r="I302" s="760"/>
      <c r="J302" s="760"/>
      <c r="K302" s="760"/>
      <c r="L302" s="760" t="s">
        <v>3260</v>
      </c>
      <c r="M302" s="760" t="s">
        <v>3261</v>
      </c>
      <c r="N302" s="760"/>
      <c r="O302" s="764">
        <v>15000000</v>
      </c>
      <c r="P302" s="760"/>
      <c r="Q302" s="765" t="s">
        <v>200</v>
      </c>
    </row>
    <row r="303" spans="1:17" s="713" customFormat="1" ht="30" x14ac:dyDescent="0.25">
      <c r="A303" s="760"/>
      <c r="B303" s="760"/>
      <c r="C303" s="760"/>
      <c r="D303" s="760" t="s">
        <v>3262</v>
      </c>
      <c r="E303" s="760" t="s">
        <v>3263</v>
      </c>
      <c r="F303" s="760"/>
      <c r="G303" s="760"/>
      <c r="H303" s="760"/>
      <c r="I303" s="760"/>
      <c r="J303" s="760"/>
      <c r="K303" s="760"/>
      <c r="L303" s="760" t="s">
        <v>3237</v>
      </c>
      <c r="M303" s="760" t="s">
        <v>3264</v>
      </c>
      <c r="N303" s="760"/>
      <c r="O303" s="764">
        <f>90*100000</f>
        <v>9000000</v>
      </c>
      <c r="P303" s="760"/>
      <c r="Q303" s="765" t="s">
        <v>200</v>
      </c>
    </row>
    <row r="304" spans="1:17" s="713" customFormat="1" x14ac:dyDescent="0.25">
      <c r="A304" s="760"/>
      <c r="B304" s="760"/>
      <c r="C304" s="760"/>
      <c r="D304" s="761" t="s">
        <v>3265</v>
      </c>
      <c r="E304" s="761" t="s">
        <v>1213</v>
      </c>
      <c r="F304" s="760"/>
      <c r="G304" s="760"/>
      <c r="H304" s="760"/>
      <c r="I304" s="760"/>
      <c r="J304" s="760"/>
      <c r="K304" s="760"/>
      <c r="L304" s="761" t="s">
        <v>3266</v>
      </c>
      <c r="M304" s="762" t="s">
        <v>2632</v>
      </c>
      <c r="N304" s="760"/>
      <c r="O304" s="763">
        <v>6000000</v>
      </c>
      <c r="P304" s="760"/>
      <c r="Q304" s="761" t="s">
        <v>200</v>
      </c>
    </row>
    <row r="305" spans="1:17" s="713" customFormat="1" x14ac:dyDescent="0.25">
      <c r="A305" s="760"/>
      <c r="B305" s="760"/>
      <c r="C305" s="760"/>
      <c r="D305" s="761"/>
      <c r="E305" s="761"/>
      <c r="F305" s="760"/>
      <c r="G305" s="760"/>
      <c r="H305" s="760"/>
      <c r="I305" s="760"/>
      <c r="J305" s="760"/>
      <c r="K305" s="760"/>
      <c r="L305" s="761" t="s">
        <v>3246</v>
      </c>
      <c r="M305" s="762" t="s">
        <v>2765</v>
      </c>
      <c r="N305" s="760"/>
      <c r="O305" s="763">
        <v>3000000</v>
      </c>
      <c r="P305" s="760"/>
      <c r="Q305" s="761" t="s">
        <v>200</v>
      </c>
    </row>
    <row r="306" spans="1:17" s="713" customFormat="1" x14ac:dyDescent="0.25">
      <c r="A306" s="760"/>
      <c r="B306" s="760"/>
      <c r="C306" s="760"/>
      <c r="D306" s="761" t="s">
        <v>3267</v>
      </c>
      <c r="E306" s="761"/>
      <c r="F306" s="760"/>
      <c r="G306" s="760"/>
      <c r="H306" s="760"/>
      <c r="I306" s="760"/>
      <c r="J306" s="760"/>
      <c r="K306" s="760"/>
      <c r="L306" s="761" t="s">
        <v>3145</v>
      </c>
      <c r="M306" s="762" t="s">
        <v>3268</v>
      </c>
      <c r="N306" s="760"/>
      <c r="O306" s="763"/>
      <c r="P306" s="760"/>
      <c r="Q306" s="761"/>
    </row>
    <row r="307" spans="1:17" s="713" customFormat="1" x14ac:dyDescent="0.25">
      <c r="A307" s="760">
        <v>15</v>
      </c>
      <c r="B307" s="760"/>
      <c r="C307" s="760" t="s">
        <v>1500</v>
      </c>
      <c r="D307" s="761" t="s">
        <v>3269</v>
      </c>
      <c r="E307" s="761"/>
      <c r="F307" s="760"/>
      <c r="G307" s="760"/>
      <c r="H307" s="760"/>
      <c r="I307" s="760"/>
      <c r="J307" s="760"/>
      <c r="K307" s="760"/>
      <c r="L307" s="761" t="s">
        <v>3270</v>
      </c>
      <c r="M307" s="762" t="s">
        <v>3271</v>
      </c>
      <c r="N307" s="760"/>
      <c r="O307" s="763">
        <v>60000000</v>
      </c>
      <c r="P307" s="760"/>
      <c r="Q307" s="761" t="s">
        <v>200</v>
      </c>
    </row>
    <row r="308" spans="1:17" s="713" customFormat="1" ht="30" x14ac:dyDescent="0.25">
      <c r="A308" s="760">
        <v>1</v>
      </c>
      <c r="B308" s="760"/>
      <c r="C308" s="720" t="s">
        <v>3272</v>
      </c>
      <c r="D308" s="760" t="s">
        <v>3273</v>
      </c>
      <c r="E308" s="760" t="s">
        <v>3274</v>
      </c>
      <c r="F308" s="760"/>
      <c r="G308" s="760"/>
      <c r="H308" s="760"/>
      <c r="I308" s="760"/>
      <c r="J308" s="760"/>
      <c r="K308" s="760"/>
      <c r="L308" s="760" t="s">
        <v>3275</v>
      </c>
      <c r="M308" s="720" t="s">
        <v>3276</v>
      </c>
      <c r="N308" s="760"/>
      <c r="O308" s="764">
        <f>30*20000+(500000)</f>
        <v>1100000</v>
      </c>
      <c r="P308" s="760"/>
      <c r="Q308" s="720" t="s">
        <v>948</v>
      </c>
    </row>
    <row r="309" spans="1:17" s="713" customFormat="1" x14ac:dyDescent="0.25">
      <c r="A309" s="760"/>
      <c r="B309" s="760"/>
      <c r="C309" s="760"/>
      <c r="D309" s="760"/>
      <c r="E309" s="760"/>
      <c r="F309" s="760"/>
      <c r="G309" s="760"/>
      <c r="H309" s="760"/>
      <c r="I309" s="760"/>
      <c r="J309" s="760"/>
      <c r="K309" s="760"/>
      <c r="L309" s="760" t="s">
        <v>3145</v>
      </c>
      <c r="M309" s="760" t="s">
        <v>1882</v>
      </c>
      <c r="N309" s="760"/>
      <c r="O309" s="764">
        <f>50*20000+(500000)</f>
        <v>1500000</v>
      </c>
      <c r="P309" s="760"/>
      <c r="Q309" s="720" t="s">
        <v>948</v>
      </c>
    </row>
    <row r="310" spans="1:17" ht="30" x14ac:dyDescent="0.25">
      <c r="A310" s="661">
        <v>2</v>
      </c>
      <c r="B310" s="626">
        <v>26.09</v>
      </c>
      <c r="C310" s="661" t="s">
        <v>3277</v>
      </c>
      <c r="D310" s="661" t="s">
        <v>3278</v>
      </c>
      <c r="E310" s="661" t="s">
        <v>3263</v>
      </c>
      <c r="F310" s="661"/>
      <c r="G310" s="661"/>
      <c r="H310" s="661"/>
      <c r="I310" s="661"/>
      <c r="J310" s="661"/>
      <c r="K310" s="661"/>
      <c r="L310" s="661" t="s">
        <v>3279</v>
      </c>
      <c r="M310" s="661" t="s">
        <v>3280</v>
      </c>
      <c r="N310" s="661"/>
      <c r="O310" s="757">
        <v>3000000</v>
      </c>
      <c r="P310" s="661"/>
      <c r="Q310" s="630" t="s">
        <v>1073</v>
      </c>
    </row>
    <row r="311" spans="1:17" x14ac:dyDescent="0.25">
      <c r="A311" s="661"/>
      <c r="B311" s="661"/>
      <c r="C311" s="661"/>
      <c r="D311" s="630" t="s">
        <v>3281</v>
      </c>
      <c r="E311" s="630" t="s">
        <v>3282</v>
      </c>
      <c r="F311" s="630" t="s">
        <v>3162</v>
      </c>
      <c r="G311" s="630" t="s">
        <v>49</v>
      </c>
      <c r="H311" s="630" t="s">
        <v>49</v>
      </c>
      <c r="I311" s="630" t="s">
        <v>49</v>
      </c>
      <c r="J311" s="630" t="s">
        <v>49</v>
      </c>
      <c r="K311" s="630" t="s">
        <v>49</v>
      </c>
      <c r="L311" s="630" t="s">
        <v>3163</v>
      </c>
      <c r="M311" s="752" t="s">
        <v>3164</v>
      </c>
      <c r="N311" s="630"/>
      <c r="O311" s="758">
        <v>5000000</v>
      </c>
      <c r="P311" s="630"/>
      <c r="Q311" s="630" t="s">
        <v>1073</v>
      </c>
    </row>
    <row r="312" spans="1:17" x14ac:dyDescent="0.25">
      <c r="A312" s="661"/>
      <c r="B312" s="661"/>
      <c r="C312" s="661"/>
      <c r="D312" s="630" t="s">
        <v>3283</v>
      </c>
      <c r="E312" s="630" t="s">
        <v>3284</v>
      </c>
      <c r="F312" s="630" t="s">
        <v>3162</v>
      </c>
      <c r="G312" s="630" t="s">
        <v>49</v>
      </c>
      <c r="H312" s="630" t="s">
        <v>49</v>
      </c>
      <c r="I312" s="630" t="s">
        <v>49</v>
      </c>
      <c r="J312" s="630" t="s">
        <v>49</v>
      </c>
      <c r="K312" s="630" t="s">
        <v>49</v>
      </c>
      <c r="L312" s="630" t="s">
        <v>3163</v>
      </c>
      <c r="M312" s="752" t="s">
        <v>659</v>
      </c>
      <c r="N312" s="630"/>
      <c r="O312" s="758">
        <v>2500000</v>
      </c>
      <c r="P312" s="630"/>
      <c r="Q312" s="630" t="s">
        <v>1073</v>
      </c>
    </row>
    <row r="313" spans="1:17" x14ac:dyDescent="0.25">
      <c r="A313" s="766" t="s">
        <v>2533</v>
      </c>
      <c r="B313" s="766"/>
      <c r="C313" s="767"/>
      <c r="D313" s="661"/>
      <c r="E313" s="661"/>
      <c r="F313" s="661"/>
      <c r="G313" s="661"/>
      <c r="H313" s="661"/>
      <c r="I313" s="661"/>
      <c r="J313" s="661"/>
      <c r="K313" s="661"/>
      <c r="L313" s="661"/>
      <c r="M313" s="661"/>
      <c r="N313" s="661"/>
      <c r="O313" s="661"/>
      <c r="P313" s="661"/>
      <c r="Q313" s="661"/>
    </row>
    <row r="314" spans="1:17" ht="30" x14ac:dyDescent="0.25">
      <c r="A314" s="661">
        <v>1</v>
      </c>
      <c r="B314" s="661"/>
      <c r="C314" s="661" t="s">
        <v>3285</v>
      </c>
      <c r="D314" s="661" t="s">
        <v>3286</v>
      </c>
      <c r="E314" s="661" t="s">
        <v>3287</v>
      </c>
      <c r="F314" s="661"/>
      <c r="G314" s="661"/>
      <c r="H314" s="661"/>
      <c r="I314" s="661"/>
      <c r="J314" s="661"/>
      <c r="K314" s="661"/>
      <c r="L314" s="661" t="s">
        <v>3138</v>
      </c>
      <c r="M314" s="661" t="s">
        <v>3288</v>
      </c>
      <c r="N314" s="661"/>
      <c r="O314" s="757">
        <f>200*12*9000+(3000000)</f>
        <v>24600000</v>
      </c>
      <c r="P314" s="661"/>
      <c r="Q314" s="663" t="s">
        <v>3289</v>
      </c>
    </row>
    <row r="315" spans="1:17" ht="30" x14ac:dyDescent="0.25">
      <c r="A315" s="661">
        <v>2</v>
      </c>
      <c r="B315" s="661"/>
      <c r="C315" s="661" t="s">
        <v>3290</v>
      </c>
      <c r="D315" s="661" t="s">
        <v>3291</v>
      </c>
      <c r="E315" s="661"/>
      <c r="F315" s="661"/>
      <c r="G315" s="661"/>
      <c r="H315" s="661"/>
      <c r="I315" s="661"/>
      <c r="J315" s="661"/>
      <c r="K315" s="661"/>
      <c r="L315" s="661" t="s">
        <v>3292</v>
      </c>
      <c r="M315" s="661" t="s">
        <v>3293</v>
      </c>
      <c r="N315" s="661"/>
      <c r="O315" s="757">
        <f>50*24*9000+(3000000)</f>
        <v>13800000</v>
      </c>
      <c r="P315" s="661"/>
      <c r="Q315" s="663" t="s">
        <v>3289</v>
      </c>
    </row>
    <row r="316" spans="1:17" x14ac:dyDescent="0.25">
      <c r="A316" s="661">
        <v>3</v>
      </c>
      <c r="B316" s="661"/>
      <c r="C316" s="661" t="s">
        <v>2740</v>
      </c>
      <c r="D316" s="661" t="s">
        <v>3294</v>
      </c>
      <c r="E316" s="661"/>
      <c r="F316" s="661"/>
      <c r="G316" s="661"/>
      <c r="H316" s="661"/>
      <c r="I316" s="661"/>
      <c r="J316" s="661"/>
      <c r="K316" s="661"/>
      <c r="L316" s="661" t="s">
        <v>3295</v>
      </c>
      <c r="M316" s="661" t="s">
        <v>3296</v>
      </c>
      <c r="N316" s="661"/>
      <c r="O316" s="757">
        <f>24*75000</f>
        <v>1800000</v>
      </c>
      <c r="P316" s="661"/>
      <c r="Q316" s="630" t="s">
        <v>2638</v>
      </c>
    </row>
    <row r="317" spans="1:17" x14ac:dyDescent="0.25">
      <c r="A317" s="661"/>
      <c r="B317" s="661"/>
      <c r="C317" s="661"/>
      <c r="D317" s="661" t="s">
        <v>3297</v>
      </c>
      <c r="E317" s="661"/>
      <c r="F317" s="661"/>
      <c r="G317" s="661"/>
      <c r="H317" s="661"/>
      <c r="I317" s="661"/>
      <c r="J317" s="661"/>
      <c r="K317" s="661"/>
      <c r="L317" s="661" t="s">
        <v>3298</v>
      </c>
      <c r="M317" s="661" t="s">
        <v>3299</v>
      </c>
      <c r="N317" s="661"/>
      <c r="O317" s="757">
        <f>35*75000</f>
        <v>2625000</v>
      </c>
      <c r="P317" s="661"/>
      <c r="Q317" s="630" t="s">
        <v>2638</v>
      </c>
    </row>
    <row r="318" spans="1:17" x14ac:dyDescent="0.25">
      <c r="A318" s="661"/>
      <c r="B318" s="661"/>
      <c r="C318" s="661"/>
      <c r="D318" s="661"/>
      <c r="E318" s="661"/>
      <c r="F318" s="661"/>
      <c r="G318" s="661"/>
      <c r="H318" s="661"/>
      <c r="I318" s="661"/>
      <c r="J318" s="661"/>
      <c r="K318" s="661"/>
      <c r="L318" s="661" t="s">
        <v>3246</v>
      </c>
      <c r="M318" s="661" t="s">
        <v>3300</v>
      </c>
      <c r="N318" s="661"/>
      <c r="O318" s="757">
        <f>300*75000</f>
        <v>22500000</v>
      </c>
      <c r="P318" s="661"/>
      <c r="Q318" s="630" t="s">
        <v>2638</v>
      </c>
    </row>
    <row r="319" spans="1:17" x14ac:dyDescent="0.25">
      <c r="A319" s="661"/>
      <c r="B319" s="661"/>
      <c r="C319" s="661"/>
      <c r="D319" s="630" t="s">
        <v>3301</v>
      </c>
      <c r="E319" s="630" t="s">
        <v>3302</v>
      </c>
      <c r="F319" s="661"/>
      <c r="G319" s="661"/>
      <c r="H319" s="661"/>
      <c r="I319" s="661"/>
      <c r="J319" s="661"/>
      <c r="K319" s="661"/>
      <c r="L319" s="630" t="s">
        <v>3303</v>
      </c>
      <c r="M319" s="752" t="s">
        <v>3304</v>
      </c>
      <c r="N319" s="661"/>
      <c r="O319" s="758">
        <v>3500000</v>
      </c>
      <c r="P319" s="661"/>
      <c r="Q319" s="630" t="s">
        <v>2638</v>
      </c>
    </row>
    <row r="320" spans="1:17" x14ac:dyDescent="0.25">
      <c r="A320" s="661"/>
      <c r="B320" s="661"/>
      <c r="C320" s="661"/>
      <c r="D320" s="630" t="s">
        <v>3305</v>
      </c>
      <c r="E320" s="630" t="s">
        <v>3306</v>
      </c>
      <c r="F320" s="630" t="s">
        <v>3307</v>
      </c>
      <c r="G320" s="630"/>
      <c r="H320" s="630" t="s">
        <v>49</v>
      </c>
      <c r="I320" s="630"/>
      <c r="J320" s="630" t="s">
        <v>49</v>
      </c>
      <c r="K320" s="630" t="s">
        <v>49</v>
      </c>
      <c r="L320" s="630" t="s">
        <v>3163</v>
      </c>
      <c r="M320" s="752" t="s">
        <v>3308</v>
      </c>
      <c r="N320" s="630"/>
      <c r="O320" s="758">
        <v>12500000</v>
      </c>
      <c r="P320" s="630"/>
      <c r="Q320" s="630" t="s">
        <v>2638</v>
      </c>
    </row>
    <row r="321" spans="1:19" x14ac:dyDescent="0.25">
      <c r="A321" s="661"/>
      <c r="B321" s="661"/>
      <c r="C321" s="661"/>
      <c r="D321" s="630" t="s">
        <v>3309</v>
      </c>
      <c r="E321" s="630"/>
      <c r="F321" s="630"/>
      <c r="G321" s="630"/>
      <c r="H321" s="630"/>
      <c r="I321" s="630"/>
      <c r="J321" s="630"/>
      <c r="K321" s="630"/>
      <c r="L321" s="630" t="s">
        <v>3246</v>
      </c>
      <c r="M321" s="752" t="s">
        <v>3300</v>
      </c>
      <c r="N321" s="630"/>
      <c r="O321" s="758">
        <f>300*75000</f>
        <v>22500000</v>
      </c>
      <c r="P321" s="630"/>
      <c r="Q321" s="630" t="s">
        <v>2638</v>
      </c>
    </row>
    <row r="322" spans="1:19" ht="30" x14ac:dyDescent="0.25">
      <c r="A322" s="661">
        <v>5</v>
      </c>
      <c r="B322" s="661"/>
      <c r="C322" s="661" t="s">
        <v>3310</v>
      </c>
      <c r="D322" s="661" t="s">
        <v>3311</v>
      </c>
      <c r="E322" s="661" t="s">
        <v>3312</v>
      </c>
      <c r="F322" s="661" t="s">
        <v>152</v>
      </c>
      <c r="G322" s="661"/>
      <c r="H322" s="661"/>
      <c r="I322" s="661"/>
      <c r="J322" s="661"/>
      <c r="K322" s="661"/>
      <c r="L322" s="661" t="s">
        <v>3229</v>
      </c>
      <c r="M322" s="661"/>
      <c r="N322" s="661"/>
      <c r="O322" s="757">
        <v>10000000</v>
      </c>
      <c r="P322" s="661"/>
      <c r="Q322" s="663" t="s">
        <v>3289</v>
      </c>
    </row>
    <row r="323" spans="1:19" ht="30" x14ac:dyDescent="0.25">
      <c r="A323" s="661">
        <v>6</v>
      </c>
      <c r="B323" s="661"/>
      <c r="C323" s="661" t="s">
        <v>3313</v>
      </c>
      <c r="D323" s="661" t="s">
        <v>3314</v>
      </c>
      <c r="E323" s="661" t="s">
        <v>3315</v>
      </c>
      <c r="F323" s="661" t="s">
        <v>2990</v>
      </c>
      <c r="G323" s="661"/>
      <c r="H323" s="661"/>
      <c r="I323" s="661"/>
      <c r="J323" s="661"/>
      <c r="K323" s="661"/>
      <c r="L323" s="661" t="s">
        <v>3229</v>
      </c>
      <c r="M323" s="661"/>
      <c r="N323" s="661"/>
      <c r="O323" s="757">
        <v>10000000</v>
      </c>
      <c r="P323" s="661"/>
      <c r="Q323" s="663" t="s">
        <v>3289</v>
      </c>
    </row>
    <row r="324" spans="1:19" ht="30" x14ac:dyDescent="0.25">
      <c r="A324" s="661">
        <v>7</v>
      </c>
      <c r="B324" s="661"/>
      <c r="C324" s="661" t="s">
        <v>3316</v>
      </c>
      <c r="D324" s="661" t="s">
        <v>3317</v>
      </c>
      <c r="E324" s="661" t="s">
        <v>3318</v>
      </c>
      <c r="F324" s="661" t="s">
        <v>152</v>
      </c>
      <c r="G324" s="661"/>
      <c r="H324" s="661"/>
      <c r="I324" s="661"/>
      <c r="J324" s="661"/>
      <c r="K324" s="661"/>
      <c r="L324" s="661" t="s">
        <v>3298</v>
      </c>
      <c r="M324" s="661" t="s">
        <v>3319</v>
      </c>
      <c r="N324" s="661"/>
      <c r="O324" s="757">
        <f>50*25*9000+(500000)</f>
        <v>11750000</v>
      </c>
      <c r="P324" s="661"/>
      <c r="Q324" s="661"/>
    </row>
    <row r="325" spans="1:19" ht="45" x14ac:dyDescent="0.25">
      <c r="A325" s="661">
        <v>8</v>
      </c>
      <c r="B325" s="661"/>
      <c r="C325" s="661" t="s">
        <v>3320</v>
      </c>
      <c r="D325" s="661"/>
      <c r="E325" s="661"/>
      <c r="F325" s="661"/>
      <c r="G325" s="661"/>
      <c r="H325" s="661"/>
      <c r="I325" s="661"/>
      <c r="J325" s="661"/>
      <c r="K325" s="661"/>
      <c r="L325" s="663" t="s">
        <v>3321</v>
      </c>
      <c r="M325" s="663" t="s">
        <v>1882</v>
      </c>
      <c r="N325" s="661"/>
      <c r="O325" s="757">
        <f>50*20000+(500000)</f>
        <v>1500000</v>
      </c>
      <c r="P325" s="661"/>
      <c r="Q325" s="663" t="s">
        <v>641</v>
      </c>
    </row>
    <row r="326" spans="1:19" x14ac:dyDescent="0.25">
      <c r="A326" s="752">
        <v>9</v>
      </c>
      <c r="B326" s="752"/>
      <c r="C326" s="630" t="s">
        <v>3322</v>
      </c>
      <c r="D326" s="630" t="s">
        <v>3323</v>
      </c>
      <c r="E326" s="630" t="s">
        <v>3324</v>
      </c>
      <c r="F326" s="630" t="s">
        <v>3325</v>
      </c>
      <c r="G326" s="630"/>
      <c r="H326" s="630"/>
      <c r="I326" s="630"/>
      <c r="J326" s="630" t="s">
        <v>49</v>
      </c>
      <c r="K326" s="630"/>
      <c r="L326" s="630" t="s">
        <v>3163</v>
      </c>
      <c r="M326" s="752" t="s">
        <v>1541</v>
      </c>
      <c r="N326" s="630"/>
      <c r="O326" s="758">
        <v>5000000</v>
      </c>
      <c r="P326" s="630"/>
      <c r="Q326" s="630" t="s">
        <v>3326</v>
      </c>
    </row>
    <row r="327" spans="1:19" x14ac:dyDescent="0.25">
      <c r="A327" s="752">
        <v>10</v>
      </c>
      <c r="B327" s="752"/>
      <c r="C327" s="630" t="s">
        <v>3327</v>
      </c>
      <c r="D327" s="630" t="s">
        <v>3328</v>
      </c>
      <c r="E327" s="630" t="s">
        <v>3329</v>
      </c>
      <c r="F327" s="630" t="s">
        <v>3162</v>
      </c>
      <c r="G327" s="630"/>
      <c r="H327" s="630"/>
      <c r="I327" s="630"/>
      <c r="J327" s="630" t="s">
        <v>49</v>
      </c>
      <c r="K327" s="630" t="s">
        <v>49</v>
      </c>
      <c r="L327" s="630" t="s">
        <v>3163</v>
      </c>
      <c r="M327" s="752" t="s">
        <v>3330</v>
      </c>
      <c r="N327" s="630"/>
      <c r="O327" s="758">
        <v>3000000</v>
      </c>
      <c r="P327" s="630"/>
      <c r="Q327" s="630" t="s">
        <v>2872</v>
      </c>
    </row>
    <row r="328" spans="1:19" x14ac:dyDescent="0.25">
      <c r="A328" s="752">
        <v>11</v>
      </c>
      <c r="B328" s="752"/>
      <c r="C328" s="630" t="s">
        <v>3331</v>
      </c>
      <c r="D328" s="630" t="s">
        <v>3332</v>
      </c>
      <c r="E328" s="630" t="s">
        <v>3333</v>
      </c>
      <c r="F328" s="630" t="s">
        <v>3162</v>
      </c>
      <c r="G328" s="630"/>
      <c r="H328" s="630"/>
      <c r="I328" s="630" t="s">
        <v>49</v>
      </c>
      <c r="J328" s="630"/>
      <c r="K328" s="630"/>
      <c r="L328" s="630" t="s">
        <v>3163</v>
      </c>
      <c r="M328" s="752" t="s">
        <v>3334</v>
      </c>
      <c r="N328" s="630"/>
      <c r="O328" s="758">
        <v>3600000</v>
      </c>
      <c r="P328" s="630"/>
      <c r="Q328" s="630" t="s">
        <v>2872</v>
      </c>
    </row>
    <row r="329" spans="1:19" x14ac:dyDescent="0.25">
      <c r="A329" s="752">
        <v>12</v>
      </c>
      <c r="B329" s="752"/>
      <c r="C329" s="630" t="s">
        <v>3335</v>
      </c>
      <c r="D329" s="630" t="s">
        <v>3336</v>
      </c>
      <c r="E329" s="630" t="s">
        <v>3337</v>
      </c>
      <c r="F329" s="630" t="s">
        <v>3162</v>
      </c>
      <c r="G329" s="630"/>
      <c r="H329" s="630"/>
      <c r="I329" s="630"/>
      <c r="J329" s="630"/>
      <c r="K329" s="630"/>
      <c r="L329" s="630" t="s">
        <v>3163</v>
      </c>
      <c r="M329" s="752" t="s">
        <v>659</v>
      </c>
      <c r="N329" s="630"/>
      <c r="O329" s="758">
        <v>20000000</v>
      </c>
      <c r="P329" s="630"/>
      <c r="Q329" s="630" t="s">
        <v>3338</v>
      </c>
    </row>
    <row r="331" spans="1:19" ht="15.75" x14ac:dyDescent="0.25">
      <c r="A331" s="868" t="s">
        <v>2671</v>
      </c>
      <c r="B331" s="868"/>
      <c r="C331" s="868"/>
      <c r="D331" s="868"/>
      <c r="E331" s="868"/>
      <c r="F331" s="868"/>
      <c r="G331" s="868"/>
      <c r="H331" s="868"/>
      <c r="I331" s="868"/>
      <c r="J331" s="868"/>
      <c r="K331" s="868"/>
      <c r="L331" s="868"/>
      <c r="M331" s="868"/>
      <c r="N331" s="753">
        <f>SUM(N235:N329)</f>
        <v>12200000</v>
      </c>
      <c r="O331" s="753">
        <f>SUM(O235:O329)</f>
        <v>3185285000</v>
      </c>
      <c r="P331" s="630"/>
      <c r="Q331" s="630"/>
      <c r="R331" s="675">
        <f>N331</f>
        <v>12200000</v>
      </c>
      <c r="S331" s="675">
        <f>O331</f>
        <v>3185285000</v>
      </c>
    </row>
    <row r="332" spans="1:19" ht="15.75" x14ac:dyDescent="0.25">
      <c r="A332" s="768"/>
      <c r="B332" s="768"/>
      <c r="C332" s="768"/>
      <c r="D332" s="768"/>
      <c r="E332" s="768"/>
      <c r="F332" s="768"/>
      <c r="G332" s="768"/>
      <c r="H332" s="768"/>
      <c r="I332" s="768"/>
      <c r="J332" s="768"/>
      <c r="K332" s="768"/>
      <c r="L332" s="768"/>
      <c r="M332" s="768"/>
      <c r="N332" s="769"/>
      <c r="O332" s="769"/>
      <c r="R332" s="770"/>
      <c r="S332" s="770"/>
    </row>
    <row r="333" spans="1:19" ht="15.75" x14ac:dyDescent="0.25">
      <c r="A333" s="768"/>
      <c r="B333" s="768"/>
      <c r="C333" s="768"/>
      <c r="D333" s="768"/>
      <c r="E333" s="768"/>
      <c r="F333" s="768"/>
      <c r="G333" s="768"/>
      <c r="H333" s="768"/>
      <c r="I333" s="768"/>
      <c r="J333" s="768"/>
      <c r="K333" s="768"/>
      <c r="L333" s="768"/>
      <c r="M333" s="768"/>
      <c r="N333" s="769"/>
      <c r="O333" s="769"/>
      <c r="R333" s="675"/>
      <c r="S333" s="675"/>
    </row>
    <row r="335" spans="1:19" ht="21" x14ac:dyDescent="0.25">
      <c r="A335" s="679" t="s">
        <v>3339</v>
      </c>
      <c r="B335" s="679"/>
      <c r="C335" s="680"/>
      <c r="D335" s="680"/>
      <c r="E335" s="680"/>
      <c r="F335" s="680"/>
      <c r="G335" s="680"/>
      <c r="H335" s="680"/>
      <c r="I335" s="680"/>
      <c r="J335" s="680"/>
      <c r="K335" s="680"/>
      <c r="L335" s="680"/>
      <c r="M335" s="680"/>
      <c r="N335" s="680"/>
      <c r="O335" s="680"/>
      <c r="P335" s="680"/>
      <c r="Q335" s="680"/>
    </row>
    <row r="336" spans="1:19" ht="30" x14ac:dyDescent="0.25">
      <c r="A336" s="771" t="s">
        <v>2598</v>
      </c>
      <c r="B336" s="771"/>
      <c r="C336" s="618" t="s">
        <v>2599</v>
      </c>
      <c r="D336" s="618" t="s">
        <v>2600</v>
      </c>
      <c r="E336" s="618" t="s">
        <v>2601</v>
      </c>
      <c r="F336" s="867" t="s">
        <v>2483</v>
      </c>
      <c r="G336" s="867"/>
      <c r="H336" s="867"/>
      <c r="I336" s="867"/>
      <c r="J336" s="867"/>
      <c r="K336" s="867"/>
      <c r="L336" s="618" t="s">
        <v>2602</v>
      </c>
      <c r="M336" s="618" t="s">
        <v>2603</v>
      </c>
      <c r="N336" s="867" t="s">
        <v>2604</v>
      </c>
      <c r="O336" s="867"/>
      <c r="P336" s="867"/>
      <c r="Q336" s="618" t="s">
        <v>2605</v>
      </c>
    </row>
    <row r="337" spans="1:19" x14ac:dyDescent="0.25">
      <c r="A337" s="619"/>
      <c r="B337" s="619"/>
      <c r="C337" s="619"/>
      <c r="D337" s="619"/>
      <c r="E337" s="619"/>
      <c r="F337" s="620" t="s">
        <v>2606</v>
      </c>
      <c r="G337" s="620" t="s">
        <v>11</v>
      </c>
      <c r="H337" s="620" t="s">
        <v>12</v>
      </c>
      <c r="I337" s="620" t="s">
        <v>13</v>
      </c>
      <c r="J337" s="620" t="s">
        <v>14</v>
      </c>
      <c r="K337" s="620" t="s">
        <v>15</v>
      </c>
      <c r="L337" s="621"/>
      <c r="M337" s="621"/>
      <c r="N337" s="620" t="s">
        <v>2488</v>
      </c>
      <c r="O337" s="620" t="s">
        <v>2607</v>
      </c>
      <c r="P337" s="620" t="s">
        <v>2608</v>
      </c>
      <c r="Q337" s="621"/>
    </row>
    <row r="338" spans="1:19" x14ac:dyDescent="0.25">
      <c r="A338" s="622">
        <v>1</v>
      </c>
      <c r="B338" s="622"/>
      <c r="C338" s="622">
        <v>2</v>
      </c>
      <c r="D338" s="622">
        <v>3</v>
      </c>
      <c r="E338" s="622">
        <v>4</v>
      </c>
      <c r="F338" s="622">
        <v>5</v>
      </c>
      <c r="G338" s="622">
        <v>6</v>
      </c>
      <c r="H338" s="622">
        <v>7</v>
      </c>
      <c r="I338" s="622">
        <v>8</v>
      </c>
      <c r="J338" s="622">
        <v>9</v>
      </c>
      <c r="K338" s="622">
        <v>10</v>
      </c>
      <c r="L338" s="622">
        <v>11</v>
      </c>
      <c r="M338" s="622">
        <v>12</v>
      </c>
      <c r="N338" s="622">
        <v>13</v>
      </c>
      <c r="O338" s="622">
        <v>14</v>
      </c>
      <c r="P338" s="622">
        <v>15</v>
      </c>
      <c r="Q338" s="622">
        <v>16</v>
      </c>
    </row>
    <row r="339" spans="1:19" ht="75" x14ac:dyDescent="0.25">
      <c r="A339" s="684">
        <v>1</v>
      </c>
      <c r="B339" s="687"/>
      <c r="C339" s="685" t="s">
        <v>3340</v>
      </c>
      <c r="D339" s="685" t="s">
        <v>3341</v>
      </c>
      <c r="E339" s="687"/>
      <c r="F339" s="687"/>
      <c r="G339" s="687"/>
      <c r="H339" s="687"/>
      <c r="I339" s="687"/>
      <c r="J339" s="687"/>
      <c r="K339" s="687"/>
      <c r="L339" s="687" t="s">
        <v>3342</v>
      </c>
      <c r="M339" s="684" t="s">
        <v>214</v>
      </c>
      <c r="N339" s="689"/>
      <c r="O339" s="689">
        <v>5000000</v>
      </c>
      <c r="P339" s="687"/>
      <c r="Q339" s="687" t="s">
        <v>2872</v>
      </c>
    </row>
    <row r="340" spans="1:19" x14ac:dyDescent="0.25">
      <c r="A340" s="752">
        <v>2</v>
      </c>
      <c r="B340" s="772"/>
      <c r="C340" s="687" t="s">
        <v>3343</v>
      </c>
      <c r="D340" s="687"/>
      <c r="E340" s="630"/>
      <c r="F340" s="630"/>
      <c r="G340" s="687"/>
      <c r="H340" s="687"/>
      <c r="I340" s="687"/>
      <c r="J340" s="687"/>
      <c r="K340" s="687"/>
      <c r="L340" s="687" t="s">
        <v>1282</v>
      </c>
      <c r="M340" s="684" t="s">
        <v>281</v>
      </c>
      <c r="N340" s="689"/>
      <c r="O340" s="689">
        <v>3000000</v>
      </c>
      <c r="P340" s="687"/>
      <c r="Q340" s="687" t="s">
        <v>2872</v>
      </c>
    </row>
    <row r="341" spans="1:19" ht="30" x14ac:dyDescent="0.25">
      <c r="A341" s="684">
        <v>3</v>
      </c>
      <c r="B341" s="687"/>
      <c r="C341" s="687" t="s">
        <v>3344</v>
      </c>
      <c r="D341" s="687"/>
      <c r="E341" s="687"/>
      <c r="F341" s="685" t="s">
        <v>3345</v>
      </c>
      <c r="G341" s="687"/>
      <c r="H341" s="687"/>
      <c r="I341" s="687"/>
      <c r="J341" s="687"/>
      <c r="K341" s="687"/>
      <c r="L341" s="687" t="s">
        <v>3342</v>
      </c>
      <c r="M341" s="684" t="s">
        <v>214</v>
      </c>
      <c r="N341" s="689">
        <v>3000000</v>
      </c>
      <c r="O341" s="689"/>
      <c r="P341" s="687"/>
      <c r="Q341" s="687"/>
    </row>
    <row r="342" spans="1:19" ht="45" x14ac:dyDescent="0.25">
      <c r="A342" s="684">
        <v>4</v>
      </c>
      <c r="B342" s="687"/>
      <c r="C342" s="687" t="s">
        <v>3346</v>
      </c>
      <c r="D342" s="687"/>
      <c r="E342" s="687"/>
      <c r="F342" s="685" t="s">
        <v>3347</v>
      </c>
      <c r="G342" s="687"/>
      <c r="H342" s="687"/>
      <c r="I342" s="687"/>
      <c r="J342" s="687"/>
      <c r="K342" s="687"/>
      <c r="L342" s="687" t="s">
        <v>3342</v>
      </c>
      <c r="M342" s="684"/>
      <c r="N342" s="689"/>
      <c r="O342" s="689">
        <v>3000000</v>
      </c>
      <c r="P342" s="687"/>
      <c r="Q342" s="687" t="s">
        <v>2872</v>
      </c>
    </row>
    <row r="343" spans="1:19" ht="60" x14ac:dyDescent="0.25">
      <c r="A343" s="684">
        <v>5</v>
      </c>
      <c r="B343" s="687"/>
      <c r="C343" s="687" t="s">
        <v>3348</v>
      </c>
      <c r="D343" s="687"/>
      <c r="E343" s="685" t="s">
        <v>3349</v>
      </c>
      <c r="F343" s="685" t="s">
        <v>3350</v>
      </c>
      <c r="G343" s="687"/>
      <c r="H343" s="687"/>
      <c r="I343" s="687"/>
      <c r="J343" s="687"/>
      <c r="K343" s="687"/>
      <c r="L343" s="687" t="s">
        <v>3342</v>
      </c>
      <c r="M343" s="687"/>
      <c r="N343" s="689"/>
      <c r="O343" s="689">
        <v>5000000</v>
      </c>
      <c r="P343" s="687"/>
      <c r="Q343" s="687" t="s">
        <v>2872</v>
      </c>
    </row>
    <row r="344" spans="1:19" ht="15.75" x14ac:dyDescent="0.25">
      <c r="A344" s="868" t="s">
        <v>2671</v>
      </c>
      <c r="B344" s="868"/>
      <c r="C344" s="868"/>
      <c r="D344" s="868"/>
      <c r="E344" s="868"/>
      <c r="F344" s="868"/>
      <c r="G344" s="868"/>
      <c r="H344" s="868"/>
      <c r="I344" s="868"/>
      <c r="J344" s="868"/>
      <c r="K344" s="868"/>
      <c r="L344" s="868"/>
      <c r="M344" s="868"/>
      <c r="N344" s="689">
        <f>SUM(N339:N343)</f>
        <v>3000000</v>
      </c>
      <c r="O344" s="689">
        <f>SUM(O339:O343)</f>
        <v>16000000</v>
      </c>
      <c r="P344" s="687"/>
      <c r="Q344" s="687"/>
      <c r="R344" s="675">
        <f>N344</f>
        <v>3000000</v>
      </c>
      <c r="S344" s="769">
        <f>O344</f>
        <v>16000000</v>
      </c>
    </row>
    <row r="346" spans="1:19" s="773" customFormat="1" ht="21" x14ac:dyDescent="0.25">
      <c r="A346" s="679" t="s">
        <v>3351</v>
      </c>
      <c r="B346" s="679"/>
      <c r="C346" s="680"/>
      <c r="D346" s="680"/>
      <c r="E346" s="680"/>
      <c r="F346" s="680"/>
      <c r="G346" s="680"/>
      <c r="H346" s="680"/>
      <c r="I346" s="680"/>
      <c r="J346" s="680"/>
      <c r="K346" s="680"/>
      <c r="L346" s="680"/>
      <c r="M346" s="680"/>
      <c r="N346" s="680"/>
      <c r="O346" s="680"/>
      <c r="P346" s="680"/>
      <c r="Q346" s="680"/>
    </row>
    <row r="347" spans="1:19" s="773" customFormat="1" ht="30" x14ac:dyDescent="0.25">
      <c r="A347" s="771" t="s">
        <v>2598</v>
      </c>
      <c r="B347" s="771"/>
      <c r="C347" s="618" t="s">
        <v>2599</v>
      </c>
      <c r="D347" s="618" t="s">
        <v>2600</v>
      </c>
      <c r="E347" s="618" t="s">
        <v>2601</v>
      </c>
      <c r="F347" s="867" t="s">
        <v>2483</v>
      </c>
      <c r="G347" s="867"/>
      <c r="H347" s="867"/>
      <c r="I347" s="867"/>
      <c r="J347" s="867"/>
      <c r="K347" s="867"/>
      <c r="L347" s="618" t="s">
        <v>2602</v>
      </c>
      <c r="M347" s="618" t="s">
        <v>2603</v>
      </c>
      <c r="N347" s="867" t="s">
        <v>2604</v>
      </c>
      <c r="O347" s="867"/>
      <c r="P347" s="867"/>
      <c r="Q347" s="618" t="s">
        <v>2605</v>
      </c>
    </row>
    <row r="348" spans="1:19" s="773" customFormat="1" x14ac:dyDescent="0.25">
      <c r="A348" s="619"/>
      <c r="B348" s="619"/>
      <c r="C348" s="619"/>
      <c r="D348" s="619"/>
      <c r="E348" s="619"/>
      <c r="F348" s="620" t="s">
        <v>2606</v>
      </c>
      <c r="G348" s="620" t="s">
        <v>11</v>
      </c>
      <c r="H348" s="620" t="s">
        <v>12</v>
      </c>
      <c r="I348" s="620" t="s">
        <v>13</v>
      </c>
      <c r="J348" s="620" t="s">
        <v>14</v>
      </c>
      <c r="K348" s="620" t="s">
        <v>15</v>
      </c>
      <c r="L348" s="621"/>
      <c r="M348" s="621"/>
      <c r="N348" s="620" t="s">
        <v>2488</v>
      </c>
      <c r="O348" s="620" t="s">
        <v>2607</v>
      </c>
      <c r="P348" s="620" t="s">
        <v>2608</v>
      </c>
      <c r="Q348" s="621"/>
    </row>
    <row r="349" spans="1:19" s="773" customFormat="1" x14ac:dyDescent="0.25">
      <c r="A349" s="622">
        <v>1</v>
      </c>
      <c r="B349" s="622"/>
      <c r="C349" s="622">
        <v>2</v>
      </c>
      <c r="D349" s="622">
        <v>3</v>
      </c>
      <c r="E349" s="622">
        <v>4</v>
      </c>
      <c r="F349" s="622">
        <v>5</v>
      </c>
      <c r="G349" s="622">
        <v>6</v>
      </c>
      <c r="H349" s="622">
        <v>7</v>
      </c>
      <c r="I349" s="622">
        <v>8</v>
      </c>
      <c r="J349" s="622">
        <v>9</v>
      </c>
      <c r="K349" s="622">
        <v>10</v>
      </c>
      <c r="L349" s="622">
        <v>11</v>
      </c>
      <c r="M349" s="622">
        <v>12</v>
      </c>
      <c r="N349" s="622">
        <v>13</v>
      </c>
      <c r="O349" s="622">
        <v>14</v>
      </c>
      <c r="P349" s="622">
        <v>15</v>
      </c>
      <c r="Q349" s="622">
        <v>16</v>
      </c>
    </row>
    <row r="350" spans="1:19" s="773" customFormat="1" ht="18" customHeight="1" x14ac:dyDescent="0.25">
      <c r="A350" s="684">
        <v>1</v>
      </c>
      <c r="B350" s="687"/>
      <c r="C350" s="685" t="s">
        <v>3352</v>
      </c>
      <c r="D350" s="685"/>
      <c r="E350" s="687"/>
      <c r="F350" s="687"/>
      <c r="G350" s="687"/>
      <c r="H350" s="687"/>
      <c r="I350" s="687"/>
      <c r="J350" s="687"/>
      <c r="K350" s="687"/>
      <c r="L350" s="687" t="s">
        <v>3342</v>
      </c>
      <c r="M350" s="684" t="s">
        <v>3353</v>
      </c>
      <c r="N350" s="774"/>
      <c r="O350" s="689">
        <v>2400000</v>
      </c>
      <c r="P350" s="687"/>
      <c r="Q350" s="687" t="s">
        <v>948</v>
      </c>
    </row>
    <row r="351" spans="1:19" s="773" customFormat="1" x14ac:dyDescent="0.25">
      <c r="A351" s="752">
        <v>2</v>
      </c>
      <c r="B351" s="772"/>
      <c r="C351" s="687" t="s">
        <v>3354</v>
      </c>
      <c r="D351" s="687" t="s">
        <v>2255</v>
      </c>
      <c r="E351" s="630"/>
      <c r="F351" s="630"/>
      <c r="G351" s="687"/>
      <c r="H351" s="687"/>
      <c r="I351" s="687"/>
      <c r="J351" s="687"/>
      <c r="K351" s="687"/>
      <c r="L351" s="687" t="s">
        <v>3355</v>
      </c>
      <c r="M351" s="684" t="s">
        <v>214</v>
      </c>
      <c r="N351" s="689">
        <v>2000000</v>
      </c>
      <c r="O351" s="687"/>
      <c r="P351" s="687"/>
      <c r="Q351" s="687"/>
    </row>
    <row r="352" spans="1:19" s="773" customFormat="1" ht="16.5" customHeight="1" x14ac:dyDescent="0.25">
      <c r="A352" s="684">
        <v>3</v>
      </c>
      <c r="B352" s="687"/>
      <c r="C352" s="687" t="s">
        <v>3356</v>
      </c>
      <c r="D352" s="687"/>
      <c r="E352" s="687"/>
      <c r="F352" s="685"/>
      <c r="G352" s="687"/>
      <c r="H352" s="687"/>
      <c r="I352" s="687"/>
      <c r="J352" s="687"/>
      <c r="K352" s="687"/>
      <c r="L352" s="687" t="s">
        <v>3357</v>
      </c>
      <c r="M352" s="684"/>
      <c r="N352" s="689">
        <v>5250000</v>
      </c>
      <c r="O352" s="687"/>
      <c r="P352" s="687"/>
      <c r="Q352" s="687"/>
    </row>
    <row r="353" spans="1:19" s="773" customFormat="1" ht="18" customHeight="1" x14ac:dyDescent="0.25">
      <c r="A353" s="684">
        <v>4</v>
      </c>
      <c r="B353" s="687"/>
      <c r="C353" s="687" t="s">
        <v>3358</v>
      </c>
      <c r="D353" s="685" t="s">
        <v>3359</v>
      </c>
      <c r="E353" s="687"/>
      <c r="F353" s="685"/>
      <c r="G353" s="687"/>
      <c r="H353" s="687"/>
      <c r="I353" s="687"/>
      <c r="J353" s="687"/>
      <c r="K353" s="687"/>
      <c r="L353" s="687" t="s">
        <v>3342</v>
      </c>
      <c r="M353" s="684" t="s">
        <v>214</v>
      </c>
      <c r="N353" s="689"/>
      <c r="O353" s="689">
        <v>1250000</v>
      </c>
      <c r="P353" s="687"/>
      <c r="Q353" s="687" t="s">
        <v>948</v>
      </c>
    </row>
    <row r="354" spans="1:19" s="773" customFormat="1" ht="16.5" customHeight="1" x14ac:dyDescent="0.25">
      <c r="A354" s="684">
        <v>5</v>
      </c>
      <c r="B354" s="687"/>
      <c r="C354" s="687" t="s">
        <v>3360</v>
      </c>
      <c r="E354" s="685"/>
      <c r="F354" s="685"/>
      <c r="G354" s="687"/>
      <c r="H354" s="687"/>
      <c r="I354" s="687"/>
      <c r="J354" s="687"/>
      <c r="K354" s="687"/>
      <c r="L354" s="687" t="s">
        <v>3361</v>
      </c>
      <c r="M354" s="684"/>
      <c r="N354" s="689"/>
      <c r="O354" s="689">
        <v>3500000</v>
      </c>
      <c r="P354" s="687"/>
      <c r="Q354" s="687" t="s">
        <v>948</v>
      </c>
    </row>
    <row r="355" spans="1:19" s="773" customFormat="1" ht="15.75" x14ac:dyDescent="0.25">
      <c r="A355" s="868" t="s">
        <v>2671</v>
      </c>
      <c r="B355" s="868"/>
      <c r="C355" s="868"/>
      <c r="D355" s="868"/>
      <c r="E355" s="868"/>
      <c r="F355" s="868"/>
      <c r="G355" s="868"/>
      <c r="H355" s="868"/>
      <c r="I355" s="868"/>
      <c r="J355" s="868"/>
      <c r="K355" s="868"/>
      <c r="L355" s="868"/>
      <c r="M355" s="868"/>
      <c r="N355" s="689">
        <f>SUM(N350:N354)</f>
        <v>7250000</v>
      </c>
      <c r="O355" s="687">
        <f>SUM(O350:O354)</f>
        <v>7150000</v>
      </c>
      <c r="P355" s="687"/>
      <c r="Q355" s="687"/>
      <c r="R355" s="775">
        <f>N355</f>
        <v>7250000</v>
      </c>
      <c r="S355" s="776">
        <f>O355</f>
        <v>7150000</v>
      </c>
    </row>
    <row r="357" spans="1:19" s="773" customFormat="1" ht="21" x14ac:dyDescent="0.25">
      <c r="A357" s="679" t="s">
        <v>3362</v>
      </c>
      <c r="B357" s="679"/>
      <c r="C357" s="680"/>
      <c r="D357" s="680"/>
      <c r="E357" s="680"/>
      <c r="F357" s="680"/>
      <c r="G357" s="680"/>
      <c r="H357" s="680"/>
      <c r="I357" s="680"/>
      <c r="J357" s="680"/>
      <c r="K357" s="680"/>
      <c r="L357" s="680"/>
      <c r="M357" s="680"/>
      <c r="N357" s="680"/>
      <c r="O357" s="680"/>
      <c r="P357" s="680"/>
      <c r="Q357" s="680"/>
    </row>
    <row r="358" spans="1:19" s="773" customFormat="1" ht="30" x14ac:dyDescent="0.25">
      <c r="A358" s="771" t="s">
        <v>2598</v>
      </c>
      <c r="B358" s="771"/>
      <c r="C358" s="618" t="s">
        <v>2599</v>
      </c>
      <c r="D358" s="618" t="s">
        <v>2600</v>
      </c>
      <c r="E358" s="618" t="s">
        <v>2601</v>
      </c>
      <c r="F358" s="867" t="s">
        <v>2483</v>
      </c>
      <c r="G358" s="867"/>
      <c r="H358" s="867"/>
      <c r="I358" s="867"/>
      <c r="J358" s="867"/>
      <c r="K358" s="867"/>
      <c r="L358" s="618" t="s">
        <v>2602</v>
      </c>
      <c r="M358" s="618" t="s">
        <v>2603</v>
      </c>
      <c r="N358" s="867" t="s">
        <v>2604</v>
      </c>
      <c r="O358" s="867"/>
      <c r="P358" s="867"/>
      <c r="Q358" s="618" t="s">
        <v>2605</v>
      </c>
    </row>
    <row r="359" spans="1:19" s="773" customFormat="1" x14ac:dyDescent="0.25">
      <c r="A359" s="619"/>
      <c r="B359" s="619"/>
      <c r="C359" s="619"/>
      <c r="D359" s="619"/>
      <c r="E359" s="619"/>
      <c r="F359" s="620" t="s">
        <v>2606</v>
      </c>
      <c r="G359" s="620" t="s">
        <v>11</v>
      </c>
      <c r="H359" s="620" t="s">
        <v>12</v>
      </c>
      <c r="I359" s="620" t="s">
        <v>13</v>
      </c>
      <c r="J359" s="620" t="s">
        <v>14</v>
      </c>
      <c r="K359" s="620" t="s">
        <v>15</v>
      </c>
      <c r="L359" s="621"/>
      <c r="M359" s="621"/>
      <c r="N359" s="620" t="s">
        <v>2488</v>
      </c>
      <c r="O359" s="620" t="s">
        <v>2607</v>
      </c>
      <c r="P359" s="620" t="s">
        <v>2608</v>
      </c>
      <c r="Q359" s="621"/>
    </row>
    <row r="360" spans="1:19" s="773" customFormat="1" x14ac:dyDescent="0.25">
      <c r="A360" s="622">
        <v>1</v>
      </c>
      <c r="B360" s="622"/>
      <c r="C360" s="622">
        <v>2</v>
      </c>
      <c r="D360" s="622">
        <v>3</v>
      </c>
      <c r="E360" s="622">
        <v>4</v>
      </c>
      <c r="F360" s="622">
        <v>5</v>
      </c>
      <c r="G360" s="622">
        <v>6</v>
      </c>
      <c r="H360" s="622">
        <v>7</v>
      </c>
      <c r="I360" s="622">
        <v>8</v>
      </c>
      <c r="J360" s="622">
        <v>9</v>
      </c>
      <c r="K360" s="622">
        <v>10</v>
      </c>
      <c r="L360" s="622">
        <v>11</v>
      </c>
      <c r="M360" s="622">
        <v>12</v>
      </c>
      <c r="N360" s="622">
        <v>13</v>
      </c>
      <c r="O360" s="622">
        <v>14</v>
      </c>
      <c r="P360" s="622">
        <v>15</v>
      </c>
      <c r="Q360" s="622">
        <v>16</v>
      </c>
    </row>
    <row r="361" spans="1:19" s="773" customFormat="1" ht="61.5" customHeight="1" x14ac:dyDescent="0.25">
      <c r="A361" s="684">
        <v>1</v>
      </c>
      <c r="B361" s="684"/>
      <c r="C361" s="685"/>
      <c r="D361" s="685" t="s">
        <v>3341</v>
      </c>
      <c r="E361" s="687"/>
      <c r="F361" s="687"/>
      <c r="G361" s="687"/>
      <c r="H361" s="687"/>
      <c r="I361" s="687"/>
      <c r="J361" s="687"/>
      <c r="K361" s="687"/>
      <c r="L361" s="687" t="s">
        <v>3342</v>
      </c>
      <c r="M361" s="687">
        <v>1</v>
      </c>
      <c r="N361" s="689">
        <v>6000000</v>
      </c>
      <c r="O361" s="687"/>
      <c r="P361" s="687"/>
      <c r="Q361" s="687"/>
    </row>
    <row r="362" spans="1:19" s="773" customFormat="1" ht="120" x14ac:dyDescent="0.25">
      <c r="A362" s="684">
        <v>2</v>
      </c>
      <c r="B362" s="684"/>
      <c r="C362" s="685" t="s">
        <v>3363</v>
      </c>
      <c r="D362" s="687"/>
      <c r="E362" s="630"/>
      <c r="F362" s="685" t="s">
        <v>3364</v>
      </c>
      <c r="G362" s="687"/>
      <c r="H362" s="687"/>
      <c r="I362" s="687"/>
      <c r="J362" s="687"/>
      <c r="K362" s="687"/>
      <c r="L362" s="685" t="s">
        <v>3365</v>
      </c>
      <c r="M362" s="684" t="s">
        <v>3366</v>
      </c>
      <c r="N362" s="689"/>
      <c r="O362" s="689">
        <v>7000000</v>
      </c>
      <c r="P362" s="687"/>
      <c r="Q362" s="687" t="s">
        <v>2872</v>
      </c>
    </row>
    <row r="363" spans="1:19" s="773" customFormat="1" ht="63" customHeight="1" x14ac:dyDescent="0.25">
      <c r="A363" s="684">
        <v>3</v>
      </c>
      <c r="B363" s="684"/>
      <c r="C363" s="685" t="s">
        <v>3367</v>
      </c>
      <c r="D363" s="687"/>
      <c r="E363" s="687"/>
      <c r="F363" s="685" t="s">
        <v>2965</v>
      </c>
      <c r="G363" s="687"/>
      <c r="H363" s="687"/>
      <c r="I363" s="687"/>
      <c r="J363" s="687"/>
      <c r="K363" s="687"/>
      <c r="L363" s="685" t="s">
        <v>2965</v>
      </c>
      <c r="M363" s="684" t="s">
        <v>3368</v>
      </c>
      <c r="N363" s="689"/>
      <c r="O363" s="689">
        <v>6000000</v>
      </c>
      <c r="P363" s="687"/>
      <c r="Q363" s="687" t="s">
        <v>2872</v>
      </c>
    </row>
    <row r="364" spans="1:19" s="773" customFormat="1" ht="13.5" customHeight="1" x14ac:dyDescent="0.25">
      <c r="A364" s="684">
        <v>4</v>
      </c>
      <c r="B364" s="684"/>
      <c r="C364" s="687" t="s">
        <v>3369</v>
      </c>
      <c r="D364" s="687"/>
      <c r="E364" s="687"/>
      <c r="F364" s="685" t="s">
        <v>2965</v>
      </c>
      <c r="G364" s="687"/>
      <c r="H364" s="687"/>
      <c r="I364" s="687"/>
      <c r="J364" s="687"/>
      <c r="K364" s="687"/>
      <c r="L364" s="687" t="s">
        <v>2965</v>
      </c>
      <c r="M364" s="684" t="s">
        <v>214</v>
      </c>
      <c r="N364" s="689"/>
      <c r="O364" s="689">
        <v>5000000</v>
      </c>
      <c r="P364" s="687"/>
      <c r="Q364" s="687" t="s">
        <v>2872</v>
      </c>
    </row>
    <row r="365" spans="1:19" s="773" customFormat="1" ht="15.75" customHeight="1" x14ac:dyDescent="0.25">
      <c r="A365" s="684">
        <v>5</v>
      </c>
      <c r="B365" s="684"/>
      <c r="C365" s="687" t="s">
        <v>3370</v>
      </c>
      <c r="D365" s="687"/>
      <c r="E365" s="685"/>
      <c r="F365" s="685" t="s">
        <v>2965</v>
      </c>
      <c r="G365" s="687"/>
      <c r="H365" s="687"/>
      <c r="I365" s="687"/>
      <c r="J365" s="687"/>
      <c r="K365" s="687"/>
      <c r="L365" s="687" t="s">
        <v>2965</v>
      </c>
      <c r="M365" s="684" t="s">
        <v>3371</v>
      </c>
      <c r="N365" s="689"/>
      <c r="O365" s="689">
        <v>3000000</v>
      </c>
      <c r="P365" s="687"/>
      <c r="Q365" s="687" t="s">
        <v>2872</v>
      </c>
    </row>
    <row r="366" spans="1:19" s="773" customFormat="1" ht="15.75" x14ac:dyDescent="0.25">
      <c r="A366" s="868" t="s">
        <v>2671</v>
      </c>
      <c r="B366" s="868"/>
      <c r="C366" s="868"/>
      <c r="D366" s="868"/>
      <c r="E366" s="868"/>
      <c r="F366" s="868"/>
      <c r="G366" s="868"/>
      <c r="H366" s="868"/>
      <c r="I366" s="868"/>
      <c r="J366" s="868"/>
      <c r="K366" s="868"/>
      <c r="L366" s="868"/>
      <c r="M366" s="868"/>
      <c r="N366" s="689">
        <f>SUM(N361:N365)</f>
        <v>6000000</v>
      </c>
      <c r="O366" s="687">
        <f>SUM(O361:O365)</f>
        <v>21000000</v>
      </c>
      <c r="P366" s="687"/>
      <c r="Q366" s="687"/>
      <c r="R366" s="775">
        <f>N366</f>
        <v>6000000</v>
      </c>
      <c r="S366" s="776">
        <f>O366</f>
        <v>21000000</v>
      </c>
    </row>
    <row r="368" spans="1:19" s="680" customFormat="1" ht="21" x14ac:dyDescent="0.2">
      <c r="A368" s="679" t="s">
        <v>3372</v>
      </c>
      <c r="B368" s="679"/>
    </row>
    <row r="369" spans="1:17" s="778" customFormat="1" x14ac:dyDescent="0.2">
      <c r="A369" s="618" t="s">
        <v>2598</v>
      </c>
      <c r="B369" s="618"/>
      <c r="C369" s="618" t="s">
        <v>2599</v>
      </c>
      <c r="D369" s="618" t="s">
        <v>2600</v>
      </c>
      <c r="E369" s="777" t="s">
        <v>2601</v>
      </c>
      <c r="F369" s="867" t="s">
        <v>2483</v>
      </c>
      <c r="G369" s="867"/>
      <c r="H369" s="867"/>
      <c r="I369" s="867"/>
      <c r="J369" s="867"/>
      <c r="K369" s="867"/>
      <c r="L369" s="618" t="s">
        <v>2602</v>
      </c>
      <c r="M369" s="618" t="s">
        <v>2603</v>
      </c>
      <c r="N369" s="867" t="s">
        <v>2604</v>
      </c>
      <c r="O369" s="867"/>
      <c r="P369" s="867"/>
      <c r="Q369" s="618" t="s">
        <v>2605</v>
      </c>
    </row>
    <row r="370" spans="1:17" s="778" customFormat="1" x14ac:dyDescent="0.2">
      <c r="A370" s="619"/>
      <c r="B370" s="619"/>
      <c r="C370" s="619"/>
      <c r="D370" s="619"/>
      <c r="E370" s="619"/>
      <c r="F370" s="620" t="s">
        <v>2606</v>
      </c>
      <c r="G370" s="620" t="s">
        <v>11</v>
      </c>
      <c r="H370" s="620" t="s">
        <v>12</v>
      </c>
      <c r="I370" s="620" t="s">
        <v>13</v>
      </c>
      <c r="J370" s="620" t="s">
        <v>14</v>
      </c>
      <c r="K370" s="620" t="s">
        <v>15</v>
      </c>
      <c r="L370" s="621"/>
      <c r="M370" s="621"/>
      <c r="N370" s="620" t="s">
        <v>2488</v>
      </c>
      <c r="O370" s="620" t="s">
        <v>2607</v>
      </c>
      <c r="P370" s="620" t="s">
        <v>2608</v>
      </c>
      <c r="Q370" s="621"/>
    </row>
    <row r="371" spans="1:17" s="779" customFormat="1" ht="12" x14ac:dyDescent="0.2">
      <c r="A371" s="622">
        <v>1</v>
      </c>
      <c r="B371" s="622"/>
      <c r="C371" s="622">
        <v>2</v>
      </c>
      <c r="D371" s="622">
        <v>3</v>
      </c>
      <c r="E371" s="622">
        <v>4</v>
      </c>
      <c r="F371" s="622">
        <v>5</v>
      </c>
      <c r="G371" s="622">
        <v>6</v>
      </c>
      <c r="H371" s="622">
        <v>7</v>
      </c>
      <c r="I371" s="622">
        <v>8</v>
      </c>
      <c r="J371" s="622">
        <v>9</v>
      </c>
      <c r="K371" s="622">
        <v>10</v>
      </c>
      <c r="L371" s="622">
        <v>11</v>
      </c>
      <c r="M371" s="622">
        <v>12</v>
      </c>
      <c r="N371" s="622">
        <v>13</v>
      </c>
      <c r="O371" s="622">
        <v>14</v>
      </c>
      <c r="P371" s="622">
        <v>15</v>
      </c>
      <c r="Q371" s="622">
        <v>16</v>
      </c>
    </row>
    <row r="372" spans="1:17" s="773" customFormat="1" ht="75" x14ac:dyDescent="0.25">
      <c r="A372" s="665">
        <v>1</v>
      </c>
      <c r="B372" s="665"/>
      <c r="C372" s="756" t="s">
        <v>3373</v>
      </c>
      <c r="D372" s="780"/>
      <c r="E372" s="756" t="s">
        <v>3374</v>
      </c>
      <c r="F372" s="756" t="s">
        <v>3375</v>
      </c>
      <c r="G372" s="780"/>
      <c r="H372" s="780"/>
      <c r="I372" s="780"/>
      <c r="J372" s="780"/>
      <c r="K372" s="780"/>
      <c r="L372" s="780" t="s">
        <v>3376</v>
      </c>
      <c r="M372" s="665" t="s">
        <v>3377</v>
      </c>
      <c r="N372" s="781">
        <v>7425000</v>
      </c>
      <c r="O372" s="780"/>
      <c r="P372" s="780"/>
      <c r="Q372" s="780"/>
    </row>
    <row r="373" spans="1:17" s="773" customFormat="1" ht="60" x14ac:dyDescent="0.25">
      <c r="A373" s="665">
        <v>2</v>
      </c>
      <c r="B373" s="665"/>
      <c r="C373" s="756" t="s">
        <v>3378</v>
      </c>
      <c r="D373" s="780"/>
      <c r="E373" s="756" t="s">
        <v>3379</v>
      </c>
      <c r="F373" s="756" t="s">
        <v>3380</v>
      </c>
      <c r="G373" s="780"/>
      <c r="H373" s="780"/>
      <c r="I373" s="780"/>
      <c r="J373" s="780"/>
      <c r="K373" s="780"/>
      <c r="L373" s="780" t="s">
        <v>3376</v>
      </c>
      <c r="M373" s="665" t="s">
        <v>3381</v>
      </c>
      <c r="N373" s="781"/>
      <c r="O373" s="781">
        <v>8900000</v>
      </c>
      <c r="P373" s="780"/>
      <c r="Q373" s="630" t="s">
        <v>3326</v>
      </c>
    </row>
    <row r="374" spans="1:17" s="773" customFormat="1" ht="30" customHeight="1" x14ac:dyDescent="0.25">
      <c r="A374" s="665">
        <v>3</v>
      </c>
      <c r="B374" s="665"/>
      <c r="C374" s="756" t="s">
        <v>3382</v>
      </c>
      <c r="D374" s="780"/>
      <c r="E374" s="756"/>
      <c r="F374" s="756" t="s">
        <v>3380</v>
      </c>
      <c r="G374" s="780"/>
      <c r="H374" s="780"/>
      <c r="I374" s="780"/>
      <c r="J374" s="780"/>
      <c r="K374" s="780"/>
      <c r="L374" s="780" t="s">
        <v>3376</v>
      </c>
      <c r="M374" s="665" t="s">
        <v>3381</v>
      </c>
      <c r="N374" s="630"/>
      <c r="O374" s="782">
        <v>4450000</v>
      </c>
      <c r="P374" s="780"/>
      <c r="Q374" s="630" t="s">
        <v>3326</v>
      </c>
    </row>
    <row r="375" spans="1:17" s="773" customFormat="1" ht="32.25" customHeight="1" x14ac:dyDescent="0.25">
      <c r="A375" s="665">
        <v>4</v>
      </c>
      <c r="B375" s="665"/>
      <c r="C375" s="756" t="s">
        <v>3383</v>
      </c>
      <c r="D375" s="780"/>
      <c r="E375" s="756"/>
      <c r="F375" s="756" t="s">
        <v>3384</v>
      </c>
      <c r="G375" s="780"/>
      <c r="H375" s="780"/>
      <c r="I375" s="780"/>
      <c r="J375" s="780"/>
      <c r="K375" s="780"/>
      <c r="L375" s="780" t="s">
        <v>3376</v>
      </c>
      <c r="M375" s="665" t="s">
        <v>3381</v>
      </c>
      <c r="N375" s="630"/>
      <c r="O375" s="782">
        <v>4450000</v>
      </c>
      <c r="P375" s="780"/>
      <c r="Q375" s="630" t="s">
        <v>3326</v>
      </c>
    </row>
    <row r="376" spans="1:17" s="773" customFormat="1" ht="45" x14ac:dyDescent="0.25">
      <c r="A376" s="665">
        <v>5</v>
      </c>
      <c r="B376" s="665"/>
      <c r="C376" s="756" t="s">
        <v>3385</v>
      </c>
      <c r="D376" s="780"/>
      <c r="E376" s="756"/>
      <c r="F376" s="756" t="s">
        <v>3380</v>
      </c>
      <c r="G376" s="780"/>
      <c r="H376" s="780"/>
      <c r="I376" s="780"/>
      <c r="J376" s="780"/>
      <c r="K376" s="780"/>
      <c r="L376" s="780" t="s">
        <v>3376</v>
      </c>
      <c r="M376" s="665" t="s">
        <v>3386</v>
      </c>
      <c r="N376" s="781"/>
      <c r="O376" s="781">
        <v>9925000</v>
      </c>
      <c r="P376" s="780"/>
      <c r="Q376" s="739" t="s">
        <v>3387</v>
      </c>
    </row>
    <row r="377" spans="1:17" s="773" customFormat="1" x14ac:dyDescent="0.25">
      <c r="A377" s="665">
        <v>6</v>
      </c>
      <c r="B377" s="665"/>
      <c r="C377" s="756" t="s">
        <v>3388</v>
      </c>
      <c r="D377" s="780"/>
      <c r="E377" s="756"/>
      <c r="F377" s="783" t="s">
        <v>3389</v>
      </c>
      <c r="G377" s="780"/>
      <c r="H377" s="780"/>
      <c r="I377" s="780"/>
      <c r="J377" s="780"/>
      <c r="K377" s="780"/>
      <c r="L377" s="780" t="s">
        <v>3376</v>
      </c>
      <c r="M377" s="665" t="s">
        <v>3390</v>
      </c>
      <c r="O377" s="784">
        <v>2000000</v>
      </c>
      <c r="P377" s="780"/>
      <c r="Q377" s="739" t="s">
        <v>948</v>
      </c>
    </row>
    <row r="378" spans="1:17" s="773" customFormat="1" ht="75" x14ac:dyDescent="0.25">
      <c r="A378" s="665">
        <v>7</v>
      </c>
      <c r="B378" s="665"/>
      <c r="C378" s="756" t="s">
        <v>3391</v>
      </c>
      <c r="D378" s="780"/>
      <c r="E378" s="756"/>
      <c r="F378" s="756" t="s">
        <v>3380</v>
      </c>
      <c r="G378" s="780"/>
      <c r="H378" s="780"/>
      <c r="I378" s="780"/>
      <c r="J378" s="780"/>
      <c r="K378" s="780"/>
      <c r="L378" s="780" t="s">
        <v>3376</v>
      </c>
      <c r="M378" s="665" t="s">
        <v>3381</v>
      </c>
      <c r="O378" s="782">
        <v>4450000</v>
      </c>
      <c r="P378" s="780"/>
      <c r="Q378" s="739" t="s">
        <v>2742</v>
      </c>
    </row>
    <row r="379" spans="1:17" s="773" customFormat="1" ht="90" x14ac:dyDescent="0.25">
      <c r="A379" s="665">
        <v>8</v>
      </c>
      <c r="B379" s="665"/>
      <c r="C379" s="756" t="s">
        <v>3392</v>
      </c>
      <c r="D379" s="780"/>
      <c r="E379" s="756" t="s">
        <v>3393</v>
      </c>
      <c r="F379" s="756"/>
      <c r="G379" s="780"/>
      <c r="H379" s="780"/>
      <c r="I379" s="780"/>
      <c r="J379" s="780"/>
      <c r="K379" s="780"/>
      <c r="L379" s="780" t="s">
        <v>3376</v>
      </c>
      <c r="M379" s="665" t="s">
        <v>3381</v>
      </c>
      <c r="O379" s="781">
        <v>7050000</v>
      </c>
      <c r="P379" s="780"/>
      <c r="Q379" s="739" t="s">
        <v>2742</v>
      </c>
    </row>
    <row r="380" spans="1:17" s="773" customFormat="1" ht="30" x14ac:dyDescent="0.25">
      <c r="A380" s="665">
        <v>9</v>
      </c>
      <c r="B380" s="665"/>
      <c r="C380" s="756" t="s">
        <v>3394</v>
      </c>
      <c r="D380" s="780"/>
      <c r="E380" s="756"/>
      <c r="F380" s="756" t="s">
        <v>3395</v>
      </c>
      <c r="G380" s="780"/>
      <c r="H380" s="780"/>
      <c r="I380" s="780"/>
      <c r="J380" s="780"/>
      <c r="K380" s="780"/>
      <c r="L380" s="780" t="s">
        <v>3376</v>
      </c>
      <c r="M380" s="665" t="s">
        <v>3396</v>
      </c>
      <c r="N380" s="782"/>
      <c r="O380" s="782">
        <v>5925000</v>
      </c>
      <c r="P380" s="780"/>
      <c r="Q380" s="739" t="s">
        <v>2872</v>
      </c>
    </row>
    <row r="381" spans="1:17" s="773" customFormat="1" ht="60" x14ac:dyDescent="0.25">
      <c r="A381" s="665">
        <v>10</v>
      </c>
      <c r="B381" s="665"/>
      <c r="C381" s="756" t="s">
        <v>3397</v>
      </c>
      <c r="D381" s="780"/>
      <c r="E381" s="756"/>
      <c r="F381" s="756" t="s">
        <v>3395</v>
      </c>
      <c r="G381" s="780"/>
      <c r="H381" s="780"/>
      <c r="I381" s="780"/>
      <c r="J381" s="780"/>
      <c r="K381" s="780"/>
      <c r="L381" s="780" t="s">
        <v>3376</v>
      </c>
      <c r="M381" s="665" t="s">
        <v>3396</v>
      </c>
      <c r="N381" s="782"/>
      <c r="O381" s="782">
        <v>3625000</v>
      </c>
      <c r="P381" s="780"/>
      <c r="Q381" s="739" t="s">
        <v>2872</v>
      </c>
    </row>
    <row r="382" spans="1:17" s="773" customFormat="1" ht="30" x14ac:dyDescent="0.25">
      <c r="A382" s="665">
        <v>11</v>
      </c>
      <c r="B382" s="665"/>
      <c r="C382" s="756" t="s">
        <v>3398</v>
      </c>
      <c r="D382" s="780"/>
      <c r="E382" s="756"/>
      <c r="F382" s="756" t="s">
        <v>3399</v>
      </c>
      <c r="G382" s="780"/>
      <c r="H382" s="780"/>
      <c r="I382" s="780"/>
      <c r="J382" s="780"/>
      <c r="K382" s="780"/>
      <c r="L382" s="780" t="s">
        <v>3376</v>
      </c>
      <c r="M382" s="665" t="s">
        <v>3396</v>
      </c>
      <c r="N382" s="782"/>
      <c r="O382" s="782">
        <v>3625000</v>
      </c>
      <c r="P382" s="780"/>
      <c r="Q382" s="739" t="s">
        <v>2872</v>
      </c>
    </row>
    <row r="383" spans="1:17" s="773" customFormat="1" x14ac:dyDescent="0.25">
      <c r="A383" s="665">
        <v>12</v>
      </c>
      <c r="B383" s="665"/>
      <c r="C383" s="756" t="s">
        <v>3400</v>
      </c>
      <c r="D383" s="780"/>
      <c r="E383" s="756"/>
      <c r="F383" s="756"/>
      <c r="G383" s="780"/>
      <c r="H383" s="780"/>
      <c r="I383" s="780"/>
      <c r="J383" s="780"/>
      <c r="K383" s="780"/>
      <c r="L383" s="780" t="s">
        <v>3376</v>
      </c>
      <c r="M383" s="665" t="s">
        <v>3396</v>
      </c>
      <c r="N383" s="782"/>
      <c r="O383" s="782">
        <v>3625000</v>
      </c>
      <c r="P383" s="780"/>
      <c r="Q383" s="739" t="s">
        <v>2872</v>
      </c>
    </row>
    <row r="384" spans="1:17" s="773" customFormat="1" x14ac:dyDescent="0.25">
      <c r="A384" s="665">
        <v>13</v>
      </c>
      <c r="B384" s="665"/>
      <c r="C384" s="756" t="s">
        <v>3401</v>
      </c>
      <c r="D384" s="780"/>
      <c r="E384" s="756"/>
      <c r="F384" s="756"/>
      <c r="G384" s="780"/>
      <c r="H384" s="780"/>
      <c r="I384" s="780"/>
      <c r="J384" s="780"/>
      <c r="K384" s="780"/>
      <c r="L384" s="780" t="s">
        <v>3376</v>
      </c>
      <c r="M384" s="665" t="s">
        <v>3396</v>
      </c>
      <c r="N384" s="782"/>
      <c r="O384" s="782">
        <v>3625000</v>
      </c>
      <c r="P384" s="780"/>
      <c r="Q384" s="739" t="s">
        <v>2872</v>
      </c>
    </row>
    <row r="385" spans="1:19" s="773" customFormat="1" ht="75" x14ac:dyDescent="0.25">
      <c r="A385" s="665">
        <v>14</v>
      </c>
      <c r="B385" s="665"/>
      <c r="C385" s="756" t="s">
        <v>3402</v>
      </c>
      <c r="D385" s="780"/>
      <c r="E385" s="756" t="s">
        <v>3403</v>
      </c>
      <c r="F385" s="756"/>
      <c r="G385" s="780"/>
      <c r="H385" s="780"/>
      <c r="I385" s="780"/>
      <c r="J385" s="780"/>
      <c r="K385" s="780"/>
      <c r="L385" s="780" t="s">
        <v>3404</v>
      </c>
      <c r="M385" s="665" t="s">
        <v>3396</v>
      </c>
      <c r="N385" s="782"/>
      <c r="O385" s="782">
        <v>3625000</v>
      </c>
      <c r="P385" s="780"/>
      <c r="Q385" s="739" t="s">
        <v>2872</v>
      </c>
    </row>
    <row r="386" spans="1:19" ht="15.75" x14ac:dyDescent="0.25">
      <c r="A386" s="868" t="s">
        <v>2671</v>
      </c>
      <c r="B386" s="868"/>
      <c r="C386" s="868"/>
      <c r="D386" s="868"/>
      <c r="E386" s="868"/>
      <c r="F386" s="868"/>
      <c r="G386" s="868"/>
      <c r="H386" s="868"/>
      <c r="I386" s="868"/>
      <c r="J386" s="868"/>
      <c r="K386" s="868"/>
      <c r="L386" s="868"/>
      <c r="M386" s="868"/>
      <c r="N386" s="785">
        <f>SUM(N372:N385)</f>
        <v>7425000</v>
      </c>
      <c r="O386" s="630">
        <f>SUM(O372:O385)</f>
        <v>65275000</v>
      </c>
      <c r="P386" s="630"/>
      <c r="Q386" s="630"/>
      <c r="R386" s="786">
        <f>N386</f>
        <v>7425000</v>
      </c>
      <c r="S386" s="769">
        <f>O386</f>
        <v>65275000</v>
      </c>
    </row>
    <row r="388" spans="1:19" s="773" customFormat="1" ht="21" x14ac:dyDescent="0.25">
      <c r="A388" s="679" t="s">
        <v>3405</v>
      </c>
      <c r="B388" s="679"/>
      <c r="C388" s="680"/>
      <c r="D388" s="680"/>
      <c r="E388" s="680"/>
      <c r="F388" s="680"/>
      <c r="G388" s="680"/>
      <c r="H388" s="680"/>
      <c r="I388" s="680"/>
      <c r="J388" s="680"/>
      <c r="K388" s="680"/>
      <c r="L388" s="680"/>
      <c r="M388" s="680"/>
      <c r="N388" s="680"/>
      <c r="O388" s="680"/>
      <c r="P388" s="680"/>
      <c r="Q388" s="680"/>
    </row>
    <row r="389" spans="1:19" s="773" customFormat="1" x14ac:dyDescent="0.25">
      <c r="A389" s="618" t="s">
        <v>2598</v>
      </c>
      <c r="B389" s="618"/>
      <c r="C389" s="618" t="s">
        <v>2599</v>
      </c>
      <c r="D389" s="618" t="s">
        <v>2600</v>
      </c>
      <c r="E389" s="618" t="s">
        <v>2601</v>
      </c>
      <c r="F389" s="867" t="s">
        <v>2483</v>
      </c>
      <c r="G389" s="867"/>
      <c r="H389" s="867"/>
      <c r="I389" s="867"/>
      <c r="J389" s="867"/>
      <c r="K389" s="867"/>
      <c r="L389" s="618" t="s">
        <v>2602</v>
      </c>
      <c r="M389" s="618" t="s">
        <v>2603</v>
      </c>
      <c r="N389" s="867" t="s">
        <v>2604</v>
      </c>
      <c r="O389" s="867"/>
      <c r="P389" s="867"/>
      <c r="Q389" s="618" t="s">
        <v>2605</v>
      </c>
    </row>
    <row r="390" spans="1:19" s="773" customFormat="1" x14ac:dyDescent="0.25">
      <c r="A390" s="619"/>
      <c r="B390" s="619"/>
      <c r="C390" s="619"/>
      <c r="D390" s="619"/>
      <c r="E390" s="619"/>
      <c r="F390" s="620" t="s">
        <v>2606</v>
      </c>
      <c r="G390" s="620" t="s">
        <v>11</v>
      </c>
      <c r="H390" s="620" t="s">
        <v>12</v>
      </c>
      <c r="I390" s="620" t="s">
        <v>13</v>
      </c>
      <c r="J390" s="620" t="s">
        <v>14</v>
      </c>
      <c r="K390" s="620" t="s">
        <v>15</v>
      </c>
      <c r="L390" s="621"/>
      <c r="M390" s="621"/>
      <c r="N390" s="620" t="s">
        <v>2488</v>
      </c>
      <c r="O390" s="620" t="s">
        <v>2607</v>
      </c>
      <c r="P390" s="620" t="s">
        <v>2608</v>
      </c>
      <c r="Q390" s="621"/>
    </row>
    <row r="391" spans="1:19" s="773" customFormat="1" x14ac:dyDescent="0.25">
      <c r="A391" s="622">
        <v>1</v>
      </c>
      <c r="B391" s="622"/>
      <c r="C391" s="622">
        <v>2</v>
      </c>
      <c r="D391" s="622">
        <v>3</v>
      </c>
      <c r="E391" s="622">
        <v>4</v>
      </c>
      <c r="F391" s="622">
        <v>5</v>
      </c>
      <c r="G391" s="622">
        <v>6</v>
      </c>
      <c r="H391" s="622">
        <v>7</v>
      </c>
      <c r="I391" s="622">
        <v>8</v>
      </c>
      <c r="J391" s="622">
        <v>9</v>
      </c>
      <c r="K391" s="622">
        <v>10</v>
      </c>
      <c r="L391" s="622">
        <v>11</v>
      </c>
      <c r="M391" s="622">
        <v>12</v>
      </c>
      <c r="N391" s="622">
        <v>13</v>
      </c>
      <c r="O391" s="622">
        <v>14</v>
      </c>
      <c r="P391" s="622">
        <v>15</v>
      </c>
      <c r="Q391" s="622">
        <v>16</v>
      </c>
    </row>
    <row r="392" spans="1:19" s="773" customFormat="1" ht="47.25" customHeight="1" x14ac:dyDescent="0.25">
      <c r="A392" s="665">
        <v>1</v>
      </c>
      <c r="B392" s="665"/>
      <c r="C392" s="659" t="s">
        <v>3406</v>
      </c>
      <c r="D392" s="665"/>
      <c r="E392" s="659" t="s">
        <v>3407</v>
      </c>
      <c r="F392" s="665"/>
      <c r="G392" s="665"/>
      <c r="H392" s="665"/>
      <c r="I392" s="665"/>
      <c r="J392" s="665"/>
      <c r="K392" s="665"/>
      <c r="L392" s="780" t="s">
        <v>3376</v>
      </c>
      <c r="M392" s="665" t="s">
        <v>3408</v>
      </c>
      <c r="N392" s="781"/>
      <c r="O392" s="781">
        <v>8642500</v>
      </c>
      <c r="P392" s="739"/>
      <c r="Q392" s="739" t="s">
        <v>1073</v>
      </c>
    </row>
    <row r="393" spans="1:19" s="773" customFormat="1" ht="27" customHeight="1" x14ac:dyDescent="0.25">
      <c r="A393" s="665">
        <v>2</v>
      </c>
      <c r="B393" s="665"/>
      <c r="C393" s="780" t="s">
        <v>3409</v>
      </c>
      <c r="D393" s="665"/>
      <c r="E393" s="659" t="s">
        <v>3410</v>
      </c>
      <c r="F393" s="664" t="s">
        <v>3411</v>
      </c>
      <c r="G393" s="665"/>
      <c r="H393" s="665"/>
      <c r="I393" s="665"/>
      <c r="J393" s="665"/>
      <c r="K393" s="665"/>
      <c r="L393" s="780" t="s">
        <v>3342</v>
      </c>
      <c r="M393" s="665" t="s">
        <v>3412</v>
      </c>
      <c r="N393" s="781"/>
      <c r="O393" s="781">
        <v>2637500</v>
      </c>
      <c r="P393" s="739"/>
      <c r="Q393" s="739" t="s">
        <v>948</v>
      </c>
    </row>
    <row r="394" spans="1:19" ht="15.75" x14ac:dyDescent="0.25">
      <c r="A394" s="868" t="s">
        <v>2671</v>
      </c>
      <c r="B394" s="868"/>
      <c r="C394" s="868"/>
      <c r="D394" s="868"/>
      <c r="E394" s="868"/>
      <c r="F394" s="868"/>
      <c r="G394" s="868"/>
      <c r="H394" s="868"/>
      <c r="I394" s="868"/>
      <c r="J394" s="868"/>
      <c r="K394" s="868"/>
      <c r="L394" s="868"/>
      <c r="M394" s="868"/>
      <c r="N394" s="785"/>
      <c r="O394" s="785">
        <f>SUM(O392:O393)</f>
        <v>11280000</v>
      </c>
      <c r="P394" s="630"/>
      <c r="Q394" s="630"/>
      <c r="R394" s="786">
        <f>N394</f>
        <v>0</v>
      </c>
      <c r="S394" s="769">
        <f>O394</f>
        <v>11280000</v>
      </c>
    </row>
    <row r="396" spans="1:19" s="773" customFormat="1" ht="21" x14ac:dyDescent="0.25">
      <c r="A396" s="679" t="s">
        <v>3413</v>
      </c>
      <c r="B396" s="679"/>
      <c r="C396" s="680"/>
      <c r="D396" s="680"/>
      <c r="E396" s="680"/>
      <c r="F396" s="680"/>
      <c r="G396" s="680"/>
      <c r="H396" s="680"/>
      <c r="I396" s="680"/>
      <c r="J396" s="680"/>
      <c r="K396" s="680"/>
      <c r="L396" s="680"/>
      <c r="M396" s="680"/>
      <c r="N396" s="680"/>
      <c r="O396" s="680"/>
      <c r="P396" s="680"/>
      <c r="Q396" s="680"/>
    </row>
    <row r="397" spans="1:19" s="773" customFormat="1" x14ac:dyDescent="0.25">
      <c r="A397" s="618" t="s">
        <v>2598</v>
      </c>
      <c r="B397" s="618"/>
      <c r="C397" s="618" t="s">
        <v>2599</v>
      </c>
      <c r="D397" s="618" t="s">
        <v>2600</v>
      </c>
      <c r="E397" s="618" t="s">
        <v>2601</v>
      </c>
      <c r="F397" s="867" t="s">
        <v>2483</v>
      </c>
      <c r="G397" s="867"/>
      <c r="H397" s="867"/>
      <c r="I397" s="867"/>
      <c r="J397" s="867"/>
      <c r="K397" s="867"/>
      <c r="L397" s="618" t="s">
        <v>2602</v>
      </c>
      <c r="M397" s="618" t="s">
        <v>2603</v>
      </c>
      <c r="N397" s="867" t="s">
        <v>2604</v>
      </c>
      <c r="O397" s="867"/>
      <c r="P397" s="867"/>
      <c r="Q397" s="618" t="s">
        <v>2605</v>
      </c>
    </row>
    <row r="398" spans="1:19" s="773" customFormat="1" x14ac:dyDescent="0.25">
      <c r="A398" s="619"/>
      <c r="B398" s="619"/>
      <c r="C398" s="619"/>
      <c r="D398" s="619"/>
      <c r="E398" s="619"/>
      <c r="F398" s="620" t="s">
        <v>2606</v>
      </c>
      <c r="G398" s="620" t="s">
        <v>11</v>
      </c>
      <c r="H398" s="620" t="s">
        <v>12</v>
      </c>
      <c r="I398" s="620" t="s">
        <v>13</v>
      </c>
      <c r="J398" s="620" t="s">
        <v>14</v>
      </c>
      <c r="K398" s="620" t="s">
        <v>15</v>
      </c>
      <c r="L398" s="621"/>
      <c r="M398" s="621"/>
      <c r="N398" s="620" t="s">
        <v>2488</v>
      </c>
      <c r="O398" s="620" t="s">
        <v>2607</v>
      </c>
      <c r="P398" s="620" t="s">
        <v>2608</v>
      </c>
      <c r="Q398" s="621"/>
    </row>
    <row r="399" spans="1:19" s="773" customFormat="1" x14ac:dyDescent="0.25">
      <c r="A399" s="622">
        <v>1</v>
      </c>
      <c r="B399" s="622"/>
      <c r="C399" s="622">
        <v>2</v>
      </c>
      <c r="D399" s="622">
        <v>3</v>
      </c>
      <c r="E399" s="622">
        <v>4</v>
      </c>
      <c r="F399" s="622">
        <v>5</v>
      </c>
      <c r="G399" s="622">
        <v>6</v>
      </c>
      <c r="H399" s="622">
        <v>7</v>
      </c>
      <c r="I399" s="622">
        <v>8</v>
      </c>
      <c r="J399" s="622">
        <v>9</v>
      </c>
      <c r="K399" s="622">
        <v>10</v>
      </c>
      <c r="L399" s="622">
        <v>11</v>
      </c>
      <c r="M399" s="622">
        <v>12</v>
      </c>
      <c r="N399" s="622">
        <v>13</v>
      </c>
      <c r="O399" s="622">
        <v>14</v>
      </c>
      <c r="P399" s="622">
        <v>15</v>
      </c>
      <c r="Q399" s="622">
        <v>16</v>
      </c>
    </row>
    <row r="400" spans="1:19" s="773" customFormat="1" x14ac:dyDescent="0.25">
      <c r="A400" s="665">
        <v>1</v>
      </c>
      <c r="B400" s="665"/>
      <c r="C400" s="780" t="s">
        <v>3414</v>
      </c>
      <c r="D400" s="665"/>
      <c r="E400" s="780" t="s">
        <v>3415</v>
      </c>
      <c r="F400" s="780" t="s">
        <v>3416</v>
      </c>
      <c r="G400" s="665"/>
      <c r="H400" s="665"/>
      <c r="I400" s="665"/>
      <c r="J400" s="665"/>
      <c r="K400" s="665"/>
      <c r="L400" s="780" t="s">
        <v>3376</v>
      </c>
      <c r="M400" s="665" t="s">
        <v>2641</v>
      </c>
      <c r="N400" s="781"/>
      <c r="O400" s="781">
        <v>2590000</v>
      </c>
      <c r="P400" s="630"/>
      <c r="Q400" s="630"/>
    </row>
    <row r="401" spans="1:19" s="773" customFormat="1" ht="120" x14ac:dyDescent="0.25">
      <c r="A401" s="665">
        <v>2</v>
      </c>
      <c r="B401" s="665"/>
      <c r="C401" s="756" t="s">
        <v>3417</v>
      </c>
      <c r="D401" s="780"/>
      <c r="E401" s="756" t="s">
        <v>3418</v>
      </c>
      <c r="F401" s="780" t="s">
        <v>3419</v>
      </c>
      <c r="G401" s="780"/>
      <c r="H401" s="780"/>
      <c r="I401" s="780"/>
      <c r="J401" s="780"/>
      <c r="K401" s="780"/>
      <c r="L401" s="780" t="s">
        <v>3376</v>
      </c>
      <c r="M401" s="665" t="s">
        <v>3381</v>
      </c>
      <c r="N401" s="784">
        <v>4450000</v>
      </c>
      <c r="O401" s="784"/>
      <c r="P401" s="630"/>
      <c r="Q401" s="739"/>
    </row>
    <row r="402" spans="1:19" s="773" customFormat="1" ht="105" x14ac:dyDescent="0.25">
      <c r="A402" s="665">
        <v>3</v>
      </c>
      <c r="B402" s="665"/>
      <c r="C402" s="756" t="s">
        <v>3420</v>
      </c>
      <c r="D402" s="780"/>
      <c r="E402" s="756" t="s">
        <v>3421</v>
      </c>
      <c r="F402" s="780" t="s">
        <v>3416</v>
      </c>
      <c r="G402" s="780"/>
      <c r="H402" s="780"/>
      <c r="I402" s="780"/>
      <c r="J402" s="780"/>
      <c r="K402" s="780"/>
      <c r="L402" s="780" t="s">
        <v>3376</v>
      </c>
      <c r="M402" s="665" t="s">
        <v>2641</v>
      </c>
      <c r="N402" s="784"/>
      <c r="O402" s="784">
        <v>6300000</v>
      </c>
      <c r="P402" s="630"/>
      <c r="Q402" s="739" t="s">
        <v>3422</v>
      </c>
    </row>
    <row r="403" spans="1:19" s="773" customFormat="1" ht="60" x14ac:dyDescent="0.25">
      <c r="A403" s="665">
        <v>4</v>
      </c>
      <c r="B403" s="665"/>
      <c r="C403" s="780" t="s">
        <v>3423</v>
      </c>
      <c r="D403" s="780"/>
      <c r="E403" s="756" t="s">
        <v>3424</v>
      </c>
      <c r="F403" s="780" t="s">
        <v>3416</v>
      </c>
      <c r="G403" s="780"/>
      <c r="H403" s="780"/>
      <c r="I403" s="780"/>
      <c r="J403" s="780"/>
      <c r="K403" s="780"/>
      <c r="L403" s="780" t="s">
        <v>3376</v>
      </c>
      <c r="M403" s="665" t="s">
        <v>3425</v>
      </c>
      <c r="N403" s="784"/>
      <c r="O403" s="784">
        <v>4700000</v>
      </c>
      <c r="P403" s="630"/>
      <c r="Q403" s="739" t="s">
        <v>3422</v>
      </c>
    </row>
    <row r="404" spans="1:19" s="773" customFormat="1" ht="60" x14ac:dyDescent="0.25">
      <c r="A404" s="665">
        <v>5</v>
      </c>
      <c r="B404" s="665"/>
      <c r="C404" s="780" t="s">
        <v>3426</v>
      </c>
      <c r="D404" s="780"/>
      <c r="E404" s="780" t="s">
        <v>3427</v>
      </c>
      <c r="F404" s="756" t="s">
        <v>3428</v>
      </c>
      <c r="G404" s="780"/>
      <c r="H404" s="780"/>
      <c r="I404" s="784"/>
      <c r="J404" s="784"/>
      <c r="K404" s="780"/>
      <c r="L404" s="780" t="s">
        <v>3376</v>
      </c>
      <c r="M404" s="665" t="s">
        <v>3390</v>
      </c>
      <c r="N404" s="784">
        <v>1200000</v>
      </c>
      <c r="O404" s="784"/>
      <c r="P404" s="630"/>
      <c r="Q404" s="739"/>
    </row>
    <row r="405" spans="1:19" s="773" customFormat="1" x14ac:dyDescent="0.25">
      <c r="A405" s="787">
        <v>6</v>
      </c>
      <c r="B405" s="787"/>
      <c r="C405" s="788" t="s">
        <v>3429</v>
      </c>
      <c r="D405" s="788"/>
      <c r="E405" s="788"/>
      <c r="F405" s="788"/>
      <c r="G405" s="788"/>
      <c r="H405" s="789"/>
      <c r="I405" s="790"/>
      <c r="J405" s="790"/>
      <c r="K405" s="788"/>
      <c r="L405" s="788" t="s">
        <v>292</v>
      </c>
      <c r="M405" s="790"/>
      <c r="N405" s="790"/>
      <c r="O405" s="791"/>
      <c r="P405" s="792"/>
      <c r="Q405" s="792"/>
    </row>
    <row r="406" spans="1:19" s="773" customFormat="1" x14ac:dyDescent="0.25">
      <c r="A406" s="789">
        <v>7</v>
      </c>
      <c r="B406" s="789"/>
      <c r="C406" s="788" t="s">
        <v>3430</v>
      </c>
      <c r="D406" s="788"/>
      <c r="E406" s="788"/>
      <c r="F406" s="788"/>
      <c r="G406" s="788"/>
      <c r="H406" s="789"/>
      <c r="I406" s="790"/>
      <c r="J406" s="790"/>
      <c r="K406" s="788"/>
      <c r="L406" s="788" t="s">
        <v>292</v>
      </c>
      <c r="M406" s="790"/>
      <c r="N406" s="790"/>
      <c r="O406" s="791"/>
      <c r="P406" s="792"/>
      <c r="Q406" s="792"/>
    </row>
    <row r="407" spans="1:19" ht="15.75" x14ac:dyDescent="0.25">
      <c r="A407" s="868" t="s">
        <v>2671</v>
      </c>
      <c r="B407" s="868"/>
      <c r="C407" s="868"/>
      <c r="D407" s="868"/>
      <c r="E407" s="868"/>
      <c r="F407" s="868"/>
      <c r="G407" s="868"/>
      <c r="H407" s="868"/>
      <c r="I407" s="868"/>
      <c r="J407" s="868"/>
      <c r="K407" s="868"/>
      <c r="L407" s="868"/>
      <c r="M407" s="868"/>
      <c r="N407" s="753">
        <f>SUM(N400:N406)</f>
        <v>5650000</v>
      </c>
      <c r="O407" s="630">
        <f>SUM(O400:O406)</f>
        <v>13590000</v>
      </c>
      <c r="P407" s="630"/>
      <c r="Q407" s="630"/>
      <c r="R407" s="675">
        <f>N407</f>
        <v>5650000</v>
      </c>
      <c r="S407" s="769">
        <f>O407</f>
        <v>13590000</v>
      </c>
    </row>
    <row r="410" spans="1:19" s="773" customFormat="1" ht="21" x14ac:dyDescent="0.25">
      <c r="A410" s="679" t="s">
        <v>3431</v>
      </c>
      <c r="B410" s="679"/>
      <c r="C410" s="680"/>
      <c r="D410" s="680"/>
      <c r="E410" s="680"/>
      <c r="F410" s="680"/>
      <c r="G410" s="680"/>
      <c r="H410" s="680"/>
      <c r="I410" s="680"/>
      <c r="J410" s="680"/>
      <c r="K410" s="680"/>
      <c r="L410" s="680"/>
      <c r="M410" s="680"/>
      <c r="N410" s="680"/>
      <c r="O410" s="680"/>
      <c r="P410" s="680"/>
      <c r="Q410" s="680"/>
    </row>
    <row r="411" spans="1:19" s="773" customFormat="1" x14ac:dyDescent="0.25">
      <c r="A411" s="618" t="s">
        <v>2598</v>
      </c>
      <c r="B411" s="618"/>
      <c r="C411" s="618" t="s">
        <v>2599</v>
      </c>
      <c r="D411" s="618" t="s">
        <v>2600</v>
      </c>
      <c r="E411" s="618" t="s">
        <v>2601</v>
      </c>
      <c r="F411" s="867" t="s">
        <v>2483</v>
      </c>
      <c r="G411" s="867"/>
      <c r="H411" s="867"/>
      <c r="I411" s="867"/>
      <c r="J411" s="867"/>
      <c r="K411" s="867"/>
      <c r="L411" s="618" t="s">
        <v>2602</v>
      </c>
      <c r="M411" s="618" t="s">
        <v>2603</v>
      </c>
      <c r="N411" s="867" t="s">
        <v>2604</v>
      </c>
      <c r="O411" s="867"/>
      <c r="P411" s="867"/>
      <c r="Q411" s="618" t="s">
        <v>2605</v>
      </c>
    </row>
    <row r="412" spans="1:19" s="773" customFormat="1" x14ac:dyDescent="0.25">
      <c r="A412" s="619"/>
      <c r="B412" s="619"/>
      <c r="C412" s="619"/>
      <c r="D412" s="619"/>
      <c r="E412" s="619"/>
      <c r="F412" s="620" t="s">
        <v>2606</v>
      </c>
      <c r="G412" s="620" t="s">
        <v>11</v>
      </c>
      <c r="H412" s="620" t="s">
        <v>12</v>
      </c>
      <c r="I412" s="620" t="s">
        <v>13</v>
      </c>
      <c r="J412" s="620" t="s">
        <v>14</v>
      </c>
      <c r="K412" s="620" t="s">
        <v>15</v>
      </c>
      <c r="L412" s="621"/>
      <c r="M412" s="621"/>
      <c r="N412" s="620" t="s">
        <v>2488</v>
      </c>
      <c r="O412" s="620" t="s">
        <v>2607</v>
      </c>
      <c r="P412" s="620" t="s">
        <v>2608</v>
      </c>
      <c r="Q412" s="621"/>
    </row>
    <row r="413" spans="1:19" s="773" customFormat="1" x14ac:dyDescent="0.25">
      <c r="A413" s="622">
        <v>1</v>
      </c>
      <c r="B413" s="622"/>
      <c r="C413" s="622">
        <v>2</v>
      </c>
      <c r="D413" s="622">
        <v>3</v>
      </c>
      <c r="E413" s="622">
        <v>4</v>
      </c>
      <c r="F413" s="622">
        <v>5</v>
      </c>
      <c r="G413" s="622">
        <v>6</v>
      </c>
      <c r="H413" s="622">
        <v>7</v>
      </c>
      <c r="I413" s="622">
        <v>8</v>
      </c>
      <c r="J413" s="622">
        <v>9</v>
      </c>
      <c r="K413" s="622">
        <v>10</v>
      </c>
      <c r="L413" s="622">
        <v>11</v>
      </c>
      <c r="M413" s="622">
        <v>12</v>
      </c>
      <c r="N413" s="622">
        <v>13</v>
      </c>
      <c r="O413" s="622">
        <v>14</v>
      </c>
      <c r="P413" s="622">
        <v>15</v>
      </c>
      <c r="Q413" s="622">
        <v>16</v>
      </c>
    </row>
    <row r="414" spans="1:19" s="773" customFormat="1" ht="60.75" customHeight="1" x14ac:dyDescent="0.25">
      <c r="A414" s="646">
        <v>1</v>
      </c>
      <c r="B414" s="646"/>
      <c r="C414" s="739" t="s">
        <v>2716</v>
      </c>
      <c r="D414" s="739" t="s">
        <v>3432</v>
      </c>
      <c r="E414" s="755" t="s">
        <v>3433</v>
      </c>
      <c r="F414" s="755" t="s">
        <v>3434</v>
      </c>
      <c r="G414" s="739"/>
      <c r="H414" s="739"/>
      <c r="I414" s="739"/>
      <c r="J414" s="739"/>
      <c r="K414" s="739"/>
      <c r="L414" s="739" t="s">
        <v>3342</v>
      </c>
      <c r="M414" s="646" t="s">
        <v>1882</v>
      </c>
      <c r="N414" s="793">
        <f>50*20000+(500000)</f>
        <v>1500000</v>
      </c>
      <c r="O414" s="739"/>
      <c r="P414" s="739"/>
      <c r="Q414" s="739"/>
    </row>
    <row r="415" spans="1:19" s="773" customFormat="1" ht="50.25" customHeight="1" x14ac:dyDescent="0.25">
      <c r="A415" s="646">
        <v>2</v>
      </c>
      <c r="B415" s="646"/>
      <c r="C415" s="755" t="s">
        <v>3344</v>
      </c>
      <c r="D415" s="755" t="s">
        <v>3435</v>
      </c>
      <c r="E415" s="739" t="s">
        <v>3435</v>
      </c>
      <c r="F415" s="755" t="s">
        <v>3436</v>
      </c>
      <c r="G415" s="739"/>
      <c r="H415" s="739"/>
      <c r="I415" s="739"/>
      <c r="J415" s="739"/>
      <c r="K415" s="739"/>
      <c r="L415" s="739" t="s">
        <v>3342</v>
      </c>
      <c r="M415" s="646" t="s">
        <v>1882</v>
      </c>
      <c r="N415" s="793"/>
      <c r="O415" s="793">
        <v>3375000</v>
      </c>
      <c r="P415" s="739"/>
      <c r="Q415" s="739" t="s">
        <v>2972</v>
      </c>
    </row>
    <row r="416" spans="1:19" ht="15.75" x14ac:dyDescent="0.25">
      <c r="A416" s="868" t="s">
        <v>2671</v>
      </c>
      <c r="B416" s="868"/>
      <c r="C416" s="868"/>
      <c r="D416" s="868"/>
      <c r="E416" s="868"/>
      <c r="F416" s="868"/>
      <c r="G416" s="868"/>
      <c r="H416" s="868"/>
      <c r="I416" s="868"/>
      <c r="J416" s="868"/>
      <c r="K416" s="868"/>
      <c r="L416" s="868"/>
      <c r="M416" s="868"/>
      <c r="N416" s="794">
        <f>SUM(N414:N415)</f>
        <v>1500000</v>
      </c>
      <c r="O416" s="630">
        <f>SUM(O414:O415)</f>
        <v>3375000</v>
      </c>
      <c r="P416" s="630"/>
      <c r="Q416" s="630"/>
      <c r="R416" s="675">
        <f>N416</f>
        <v>1500000</v>
      </c>
      <c r="S416" s="617">
        <f>O416</f>
        <v>3375000</v>
      </c>
    </row>
    <row r="419" spans="1:19" s="773" customFormat="1" ht="21" x14ac:dyDescent="0.25">
      <c r="A419" s="679" t="s">
        <v>3437</v>
      </c>
      <c r="B419" s="679"/>
      <c r="C419" s="680"/>
      <c r="D419" s="680"/>
      <c r="E419" s="680"/>
      <c r="F419" s="680"/>
      <c r="G419" s="680"/>
      <c r="H419" s="680"/>
      <c r="I419" s="680"/>
      <c r="J419" s="680"/>
      <c r="K419" s="680"/>
      <c r="L419" s="680"/>
      <c r="M419" s="680"/>
      <c r="N419" s="680"/>
      <c r="O419" s="680"/>
      <c r="P419" s="680"/>
      <c r="Q419" s="680"/>
    </row>
    <row r="420" spans="1:19" s="773" customFormat="1" x14ac:dyDescent="0.25">
      <c r="A420" s="618" t="s">
        <v>2598</v>
      </c>
      <c r="B420" s="618"/>
      <c r="C420" s="618" t="s">
        <v>2599</v>
      </c>
      <c r="D420" s="618" t="s">
        <v>2600</v>
      </c>
      <c r="E420" s="618" t="s">
        <v>2601</v>
      </c>
      <c r="F420" s="867" t="s">
        <v>2483</v>
      </c>
      <c r="G420" s="867"/>
      <c r="H420" s="867"/>
      <c r="I420" s="867"/>
      <c r="J420" s="867"/>
      <c r="K420" s="867"/>
      <c r="L420" s="618" t="s">
        <v>2602</v>
      </c>
      <c r="M420" s="618" t="s">
        <v>2603</v>
      </c>
      <c r="N420" s="867" t="s">
        <v>2604</v>
      </c>
      <c r="O420" s="867"/>
      <c r="P420" s="867"/>
      <c r="Q420" s="618" t="s">
        <v>2605</v>
      </c>
    </row>
    <row r="421" spans="1:19" s="773" customFormat="1" x14ac:dyDescent="0.25">
      <c r="A421" s="619"/>
      <c r="B421" s="619"/>
      <c r="C421" s="619"/>
      <c r="D421" s="619"/>
      <c r="E421" s="619"/>
      <c r="F421" s="620" t="s">
        <v>2606</v>
      </c>
      <c r="G421" s="620" t="s">
        <v>11</v>
      </c>
      <c r="H421" s="620" t="s">
        <v>12</v>
      </c>
      <c r="I421" s="620" t="s">
        <v>13</v>
      </c>
      <c r="J421" s="620" t="s">
        <v>14</v>
      </c>
      <c r="K421" s="620" t="s">
        <v>15</v>
      </c>
      <c r="L421" s="621"/>
      <c r="M421" s="621"/>
      <c r="N421" s="620" t="s">
        <v>2488</v>
      </c>
      <c r="O421" s="620" t="s">
        <v>2607</v>
      </c>
      <c r="P421" s="620" t="s">
        <v>2608</v>
      </c>
      <c r="Q421" s="621"/>
    </row>
    <row r="422" spans="1:19" s="773" customFormat="1" x14ac:dyDescent="0.25">
      <c r="A422" s="622">
        <v>1</v>
      </c>
      <c r="B422" s="622"/>
      <c r="C422" s="622">
        <v>2</v>
      </c>
      <c r="D422" s="622">
        <v>3</v>
      </c>
      <c r="E422" s="622">
        <v>4</v>
      </c>
      <c r="F422" s="622">
        <v>5</v>
      </c>
      <c r="G422" s="622">
        <v>6</v>
      </c>
      <c r="H422" s="622">
        <v>7</v>
      </c>
      <c r="I422" s="622">
        <v>8</v>
      </c>
      <c r="J422" s="622">
        <v>9</v>
      </c>
      <c r="K422" s="622">
        <v>10</v>
      </c>
      <c r="L422" s="622">
        <v>11</v>
      </c>
      <c r="M422" s="622">
        <v>12</v>
      </c>
      <c r="N422" s="622">
        <v>13</v>
      </c>
      <c r="O422" s="622">
        <v>14</v>
      </c>
      <c r="P422" s="622">
        <v>15</v>
      </c>
      <c r="Q422" s="622">
        <v>16</v>
      </c>
    </row>
    <row r="423" spans="1:19" s="798" customFormat="1" ht="34.5" customHeight="1" x14ac:dyDescent="0.25">
      <c r="A423" s="795">
        <v>1</v>
      </c>
      <c r="B423" s="795"/>
      <c r="C423" s="765" t="s">
        <v>3438</v>
      </c>
      <c r="D423" s="765"/>
      <c r="E423" s="796" t="s">
        <v>3439</v>
      </c>
      <c r="F423" s="796" t="s">
        <v>3440</v>
      </c>
      <c r="G423" s="765"/>
      <c r="H423" s="765"/>
      <c r="I423" s="765"/>
      <c r="J423" s="765"/>
      <c r="K423" s="765"/>
      <c r="L423" s="796" t="s">
        <v>3441</v>
      </c>
      <c r="M423" s="765"/>
      <c r="N423" s="797"/>
      <c r="O423" s="797">
        <v>5000000</v>
      </c>
      <c r="P423" s="765"/>
      <c r="Q423" s="765" t="s">
        <v>3442</v>
      </c>
    </row>
    <row r="424" spans="1:19" s="773" customFormat="1" ht="38.25" customHeight="1" x14ac:dyDescent="0.25">
      <c r="A424" s="646">
        <v>2</v>
      </c>
      <c r="B424" s="646"/>
      <c r="C424" s="755" t="s">
        <v>3443</v>
      </c>
      <c r="D424" s="755"/>
      <c r="E424" s="755" t="s">
        <v>3444</v>
      </c>
      <c r="F424" s="755" t="s">
        <v>3445</v>
      </c>
      <c r="G424" s="739"/>
      <c r="H424" s="739"/>
      <c r="I424" s="739"/>
      <c r="J424" s="739"/>
      <c r="K424" s="739"/>
      <c r="L424" s="739"/>
      <c r="M424" s="739"/>
      <c r="N424" s="793"/>
      <c r="O424" s="793">
        <v>4000000</v>
      </c>
      <c r="P424" s="739"/>
      <c r="Q424" s="739" t="s">
        <v>2720</v>
      </c>
    </row>
    <row r="425" spans="1:19" s="773" customFormat="1" ht="46.5" customHeight="1" x14ac:dyDescent="0.25">
      <c r="A425" s="646">
        <v>3</v>
      </c>
      <c r="B425" s="646"/>
      <c r="C425" s="755" t="s">
        <v>3446</v>
      </c>
      <c r="D425" s="755"/>
      <c r="E425" s="755" t="s">
        <v>3447</v>
      </c>
      <c r="F425" s="755" t="s">
        <v>3445</v>
      </c>
      <c r="G425" s="739"/>
      <c r="H425" s="739"/>
      <c r="I425" s="739"/>
      <c r="J425" s="739"/>
      <c r="K425" s="739"/>
      <c r="L425" s="755" t="s">
        <v>3441</v>
      </c>
      <c r="M425" s="739"/>
      <c r="O425" s="793">
        <v>3000000</v>
      </c>
      <c r="P425" s="739"/>
      <c r="Q425" s="739" t="s">
        <v>2720</v>
      </c>
    </row>
    <row r="426" spans="1:19" ht="15.75" x14ac:dyDescent="0.25">
      <c r="A426" s="868" t="s">
        <v>2671</v>
      </c>
      <c r="B426" s="868"/>
      <c r="C426" s="868"/>
      <c r="D426" s="868"/>
      <c r="E426" s="868"/>
      <c r="F426" s="868"/>
      <c r="G426" s="868"/>
      <c r="H426" s="868"/>
      <c r="I426" s="868"/>
      <c r="J426" s="868"/>
      <c r="K426" s="868"/>
      <c r="L426" s="868"/>
      <c r="M426" s="868"/>
      <c r="N426" s="794">
        <f>SUM(N423:N425)</f>
        <v>0</v>
      </c>
      <c r="O426" s="630">
        <f>SUM(O423:O425)</f>
        <v>12000000</v>
      </c>
      <c r="P426" s="630"/>
      <c r="Q426" s="630"/>
      <c r="R426" s="675">
        <f>N426</f>
        <v>0</v>
      </c>
      <c r="S426" s="617">
        <f>O426</f>
        <v>12000000</v>
      </c>
    </row>
    <row r="428" spans="1:19" s="800" customFormat="1" ht="21" x14ac:dyDescent="0.25">
      <c r="A428" s="643" t="s">
        <v>3448</v>
      </c>
      <c r="B428" s="643"/>
      <c r="C428" s="799"/>
      <c r="D428" s="799"/>
      <c r="E428" s="799"/>
      <c r="F428" s="799"/>
      <c r="G428" s="799"/>
      <c r="H428" s="799"/>
      <c r="I428" s="799"/>
      <c r="J428" s="799"/>
      <c r="K428" s="799"/>
      <c r="L428" s="799"/>
      <c r="M428" s="799"/>
      <c r="N428" s="799"/>
      <c r="O428" s="799"/>
      <c r="P428" s="799"/>
      <c r="Q428" s="799"/>
    </row>
    <row r="429" spans="1:19" s="800" customFormat="1" x14ac:dyDescent="0.25">
      <c r="A429" s="801" t="s">
        <v>2598</v>
      </c>
      <c r="B429" s="801"/>
      <c r="C429" s="801" t="s">
        <v>2599</v>
      </c>
      <c r="D429" s="801" t="s">
        <v>2600</v>
      </c>
      <c r="E429" s="801" t="s">
        <v>2601</v>
      </c>
      <c r="F429" s="869" t="s">
        <v>2483</v>
      </c>
      <c r="G429" s="869"/>
      <c r="H429" s="869"/>
      <c r="I429" s="869"/>
      <c r="J429" s="869"/>
      <c r="K429" s="869"/>
      <c r="L429" s="801" t="s">
        <v>2602</v>
      </c>
      <c r="M429" s="801" t="s">
        <v>2603</v>
      </c>
      <c r="N429" s="869" t="s">
        <v>2604</v>
      </c>
      <c r="O429" s="869"/>
      <c r="P429" s="869"/>
      <c r="Q429" s="801" t="s">
        <v>2605</v>
      </c>
    </row>
    <row r="430" spans="1:19" s="800" customFormat="1" x14ac:dyDescent="0.25">
      <c r="A430" s="802"/>
      <c r="B430" s="802"/>
      <c r="C430" s="802"/>
      <c r="D430" s="802"/>
      <c r="E430" s="802"/>
      <c r="F430" s="803" t="s">
        <v>2606</v>
      </c>
      <c r="G430" s="803" t="s">
        <v>11</v>
      </c>
      <c r="H430" s="803" t="s">
        <v>12</v>
      </c>
      <c r="I430" s="803" t="s">
        <v>13</v>
      </c>
      <c r="J430" s="803" t="s">
        <v>14</v>
      </c>
      <c r="K430" s="803" t="s">
        <v>15</v>
      </c>
      <c r="L430" s="804"/>
      <c r="M430" s="804"/>
      <c r="N430" s="803" t="s">
        <v>2488</v>
      </c>
      <c r="O430" s="803" t="s">
        <v>2607</v>
      </c>
      <c r="P430" s="803" t="s">
        <v>2608</v>
      </c>
      <c r="Q430" s="804"/>
    </row>
    <row r="431" spans="1:19" s="800" customFormat="1" x14ac:dyDescent="0.25">
      <c r="A431" s="805">
        <v>1</v>
      </c>
      <c r="B431" s="805"/>
      <c r="C431" s="805">
        <v>2</v>
      </c>
      <c r="D431" s="805">
        <v>3</v>
      </c>
      <c r="E431" s="805">
        <v>4</v>
      </c>
      <c r="F431" s="805">
        <v>5</v>
      </c>
      <c r="G431" s="805">
        <v>6</v>
      </c>
      <c r="H431" s="805">
        <v>7</v>
      </c>
      <c r="I431" s="805">
        <v>8</v>
      </c>
      <c r="J431" s="805">
        <v>9</v>
      </c>
      <c r="K431" s="805">
        <v>10</v>
      </c>
      <c r="L431" s="805">
        <v>11</v>
      </c>
      <c r="M431" s="805">
        <v>12</v>
      </c>
      <c r="N431" s="805">
        <v>13</v>
      </c>
      <c r="O431" s="805">
        <v>14</v>
      </c>
      <c r="P431" s="805">
        <v>15</v>
      </c>
      <c r="Q431" s="805">
        <v>16</v>
      </c>
    </row>
    <row r="432" spans="1:19" s="800" customFormat="1" ht="44.25" customHeight="1" x14ac:dyDescent="0.25">
      <c r="A432" s="626">
        <v>1</v>
      </c>
      <c r="B432" s="806">
        <v>13.2</v>
      </c>
      <c r="C432" s="632" t="s">
        <v>3449</v>
      </c>
      <c r="D432" s="632" t="s">
        <v>3450</v>
      </c>
      <c r="E432" s="632" t="s">
        <v>3451</v>
      </c>
      <c r="F432" s="634" t="s">
        <v>3452</v>
      </c>
      <c r="G432" s="634" t="s">
        <v>49</v>
      </c>
      <c r="H432" s="634" t="s">
        <v>49</v>
      </c>
      <c r="I432" s="634" t="s">
        <v>49</v>
      </c>
      <c r="J432" s="634" t="s">
        <v>49</v>
      </c>
      <c r="K432" s="634" t="s">
        <v>49</v>
      </c>
      <c r="L432" s="634" t="s">
        <v>3342</v>
      </c>
      <c r="M432" s="637" t="s">
        <v>239</v>
      </c>
      <c r="N432" s="633">
        <f>30*20000*3+(1500000)</f>
        <v>3300000</v>
      </c>
      <c r="O432" s="633"/>
      <c r="P432" s="634"/>
      <c r="Q432" s="634"/>
      <c r="R432" s="807"/>
    </row>
    <row r="433" spans="1:19" s="800" customFormat="1" ht="36.75" customHeight="1" x14ac:dyDescent="0.25">
      <c r="A433" s="626"/>
      <c r="B433" s="626"/>
      <c r="C433" s="632"/>
      <c r="D433" s="632"/>
      <c r="E433" s="632"/>
      <c r="F433" s="634"/>
      <c r="G433" s="634"/>
      <c r="H433" s="634"/>
      <c r="I433" s="634"/>
      <c r="J433" s="634"/>
      <c r="K433" s="634"/>
      <c r="L433" s="634"/>
      <c r="M433" s="632"/>
      <c r="N433" s="633"/>
      <c r="O433" s="633"/>
      <c r="P433" s="634"/>
      <c r="Q433" s="634"/>
      <c r="R433" s="807"/>
    </row>
    <row r="434" spans="1:19" ht="15.75" x14ac:dyDescent="0.25">
      <c r="A434" s="868" t="s">
        <v>2671</v>
      </c>
      <c r="B434" s="868"/>
      <c r="C434" s="868"/>
      <c r="D434" s="868"/>
      <c r="E434" s="868"/>
      <c r="F434" s="868"/>
      <c r="G434" s="868"/>
      <c r="H434" s="868"/>
      <c r="I434" s="868"/>
      <c r="J434" s="868"/>
      <c r="K434" s="868"/>
      <c r="L434" s="868"/>
      <c r="M434" s="868"/>
      <c r="N434" s="808">
        <f>SUM(N432:N433)</f>
        <v>3300000</v>
      </c>
      <c r="O434" s="808">
        <f>SUM(O432:O433)</f>
        <v>0</v>
      </c>
      <c r="P434" s="630"/>
      <c r="Q434" s="630"/>
      <c r="R434" s="809">
        <f>N434</f>
        <v>3300000</v>
      </c>
      <c r="S434" s="809">
        <f>O434</f>
        <v>0</v>
      </c>
    </row>
    <row r="436" spans="1:19" ht="21" x14ac:dyDescent="0.25">
      <c r="A436" s="653" t="s">
        <v>3453</v>
      </c>
      <c r="B436" s="653"/>
      <c r="C436" s="654"/>
      <c r="D436" s="654"/>
      <c r="E436" s="654"/>
      <c r="F436" s="654"/>
      <c r="G436" s="654"/>
      <c r="H436" s="654"/>
      <c r="I436" s="654"/>
      <c r="J436" s="654"/>
      <c r="K436" s="654"/>
      <c r="L436" s="654"/>
      <c r="M436" s="654"/>
      <c r="N436" s="654"/>
      <c r="O436" s="654"/>
      <c r="P436" s="654"/>
      <c r="Q436" s="654"/>
    </row>
    <row r="437" spans="1:19" x14ac:dyDescent="0.25">
      <c r="A437" s="618" t="s">
        <v>2598</v>
      </c>
      <c r="B437" s="618"/>
      <c r="C437" s="618" t="s">
        <v>2599</v>
      </c>
      <c r="D437" s="618" t="s">
        <v>2600</v>
      </c>
      <c r="E437" s="618" t="s">
        <v>2601</v>
      </c>
      <c r="F437" s="867" t="s">
        <v>2483</v>
      </c>
      <c r="G437" s="867"/>
      <c r="H437" s="867"/>
      <c r="I437" s="867"/>
      <c r="J437" s="867"/>
      <c r="K437" s="867"/>
      <c r="L437" s="618" t="s">
        <v>2602</v>
      </c>
      <c r="M437" s="618" t="s">
        <v>2603</v>
      </c>
      <c r="N437" s="867" t="s">
        <v>2604</v>
      </c>
      <c r="O437" s="867"/>
      <c r="P437" s="867"/>
      <c r="Q437" s="618" t="s">
        <v>2605</v>
      </c>
    </row>
    <row r="438" spans="1:19" x14ac:dyDescent="0.25">
      <c r="A438" s="619"/>
      <c r="B438" s="619"/>
      <c r="C438" s="619"/>
      <c r="D438" s="619"/>
      <c r="E438" s="619"/>
      <c r="F438" s="620" t="s">
        <v>2606</v>
      </c>
      <c r="G438" s="620" t="s">
        <v>11</v>
      </c>
      <c r="H438" s="620" t="s">
        <v>12</v>
      </c>
      <c r="I438" s="620" t="s">
        <v>13</v>
      </c>
      <c r="J438" s="620" t="s">
        <v>14</v>
      </c>
      <c r="K438" s="620" t="s">
        <v>15</v>
      </c>
      <c r="L438" s="621"/>
      <c r="M438" s="621"/>
      <c r="N438" s="620" t="s">
        <v>2488</v>
      </c>
      <c r="O438" s="620" t="s">
        <v>2607</v>
      </c>
      <c r="P438" s="620" t="s">
        <v>2608</v>
      </c>
      <c r="Q438" s="621"/>
    </row>
    <row r="439" spans="1:19" x14ac:dyDescent="0.25">
      <c r="A439" s="622">
        <v>1</v>
      </c>
      <c r="B439" s="622"/>
      <c r="C439" s="622">
        <v>2</v>
      </c>
      <c r="D439" s="622">
        <v>3</v>
      </c>
      <c r="E439" s="622">
        <v>4</v>
      </c>
      <c r="F439" s="622">
        <v>5</v>
      </c>
      <c r="G439" s="622">
        <v>6</v>
      </c>
      <c r="H439" s="622">
        <v>7</v>
      </c>
      <c r="I439" s="622">
        <v>8</v>
      </c>
      <c r="J439" s="622">
        <v>9</v>
      </c>
      <c r="K439" s="622">
        <v>10</v>
      </c>
      <c r="L439" s="622">
        <v>11</v>
      </c>
      <c r="M439" s="622">
        <v>12</v>
      </c>
      <c r="N439" s="622">
        <v>13</v>
      </c>
      <c r="O439" s="622">
        <v>14</v>
      </c>
      <c r="P439" s="622">
        <v>15</v>
      </c>
      <c r="Q439" s="622">
        <v>16</v>
      </c>
    </row>
    <row r="440" spans="1:19" ht="30" x14ac:dyDescent="0.25">
      <c r="A440" s="655">
        <v>1</v>
      </c>
      <c r="B440" s="655"/>
      <c r="C440" s="656" t="s">
        <v>3454</v>
      </c>
      <c r="D440" s="656" t="s">
        <v>3455</v>
      </c>
      <c r="E440" s="656" t="s">
        <v>3456</v>
      </c>
      <c r="F440" s="656" t="s">
        <v>3457</v>
      </c>
      <c r="G440" s="656"/>
      <c r="H440" s="656"/>
      <c r="I440" s="656"/>
      <c r="J440" s="656"/>
      <c r="K440" s="656"/>
      <c r="L440" s="656" t="s">
        <v>16</v>
      </c>
      <c r="M440" s="655" t="s">
        <v>3458</v>
      </c>
      <c r="N440" s="657">
        <f>100*20000+(1000000)</f>
        <v>3000000</v>
      </c>
      <c r="O440" s="662"/>
      <c r="P440" s="656"/>
      <c r="Q440" s="657"/>
      <c r="R440" s="658"/>
    </row>
    <row r="441" spans="1:19" ht="60" x14ac:dyDescent="0.25">
      <c r="A441" s="655">
        <v>2</v>
      </c>
      <c r="B441" s="655"/>
      <c r="C441" s="656" t="s">
        <v>3459</v>
      </c>
      <c r="D441" s="656" t="s">
        <v>3460</v>
      </c>
      <c r="E441" s="656" t="s">
        <v>3461</v>
      </c>
      <c r="F441" s="656" t="s">
        <v>3457</v>
      </c>
      <c r="G441" s="656"/>
      <c r="H441" s="656"/>
      <c r="I441" s="656"/>
      <c r="J441" s="656"/>
      <c r="K441" s="656"/>
      <c r="L441" s="656" t="s">
        <v>16</v>
      </c>
      <c r="M441" s="655" t="s">
        <v>231</v>
      </c>
      <c r="N441" s="657"/>
      <c r="O441" s="662">
        <v>10000000</v>
      </c>
      <c r="P441" s="656"/>
      <c r="Q441" s="657" t="s">
        <v>3462</v>
      </c>
      <c r="R441" s="658"/>
    </row>
    <row r="442" spans="1:19" ht="45" x14ac:dyDescent="0.25">
      <c r="A442" s="655">
        <v>3</v>
      </c>
      <c r="B442" s="655"/>
      <c r="C442" s="656" t="s">
        <v>2084</v>
      </c>
      <c r="D442" s="660" t="s">
        <v>3463</v>
      </c>
      <c r="E442" s="660" t="s">
        <v>3464</v>
      </c>
      <c r="F442" s="656" t="s">
        <v>3457</v>
      </c>
      <c r="G442" s="659"/>
      <c r="H442" s="659"/>
      <c r="I442" s="659"/>
      <c r="J442" s="659"/>
      <c r="K442" s="659"/>
      <c r="L442" s="656" t="s">
        <v>16</v>
      </c>
      <c r="M442" s="663" t="s">
        <v>239</v>
      </c>
      <c r="N442" s="657"/>
      <c r="O442" s="662">
        <v>12000000</v>
      </c>
      <c r="P442" s="656"/>
      <c r="Q442" s="657" t="s">
        <v>3462</v>
      </c>
      <c r="R442" s="658"/>
    </row>
    <row r="443" spans="1:19" ht="45" x14ac:dyDescent="0.25">
      <c r="A443" s="655">
        <v>4</v>
      </c>
      <c r="B443" s="655"/>
      <c r="C443" s="656" t="s">
        <v>3465</v>
      </c>
      <c r="D443" s="660" t="s">
        <v>3466</v>
      </c>
      <c r="E443" s="660" t="s">
        <v>3467</v>
      </c>
      <c r="F443" s="656" t="s">
        <v>3457</v>
      </c>
      <c r="G443" s="659"/>
      <c r="H443" s="659"/>
      <c r="I443" s="659"/>
      <c r="J443" s="659"/>
      <c r="K443" s="659"/>
      <c r="L443" s="656" t="s">
        <v>16</v>
      </c>
      <c r="M443" s="663" t="s">
        <v>1882</v>
      </c>
      <c r="N443" s="657"/>
      <c r="O443" s="662">
        <v>5000000</v>
      </c>
      <c r="P443" s="656"/>
      <c r="Q443" s="657" t="s">
        <v>3462</v>
      </c>
      <c r="R443" s="658"/>
    </row>
    <row r="444" spans="1:19" ht="30" x14ac:dyDescent="0.25">
      <c r="A444" s="655">
        <v>5</v>
      </c>
      <c r="B444" s="655"/>
      <c r="C444" s="656" t="s">
        <v>3468</v>
      </c>
      <c r="D444" s="660"/>
      <c r="E444" s="660"/>
      <c r="F444" s="656" t="s">
        <v>3457</v>
      </c>
      <c r="G444" s="659"/>
      <c r="H444" s="659"/>
      <c r="I444" s="659"/>
      <c r="J444" s="659"/>
      <c r="K444" s="659"/>
      <c r="L444" s="656" t="s">
        <v>16</v>
      </c>
      <c r="M444" s="663" t="s">
        <v>1882</v>
      </c>
      <c r="N444" s="657"/>
      <c r="O444" s="662">
        <v>5000000</v>
      </c>
      <c r="P444" s="656"/>
      <c r="Q444" s="657" t="s">
        <v>2724</v>
      </c>
      <c r="R444" s="658"/>
    </row>
    <row r="445" spans="1:19" ht="45" x14ac:dyDescent="0.25">
      <c r="A445" s="655">
        <v>6</v>
      </c>
      <c r="B445" s="655"/>
      <c r="C445" s="656" t="s">
        <v>3469</v>
      </c>
      <c r="D445" s="660" t="s">
        <v>3470</v>
      </c>
      <c r="E445" s="660" t="s">
        <v>3471</v>
      </c>
      <c r="F445" s="656" t="s">
        <v>3457</v>
      </c>
      <c r="G445" s="659"/>
      <c r="H445" s="659"/>
      <c r="I445" s="659"/>
      <c r="J445" s="659"/>
      <c r="K445" s="659"/>
      <c r="L445" s="656" t="s">
        <v>16</v>
      </c>
      <c r="M445" s="663" t="s">
        <v>106</v>
      </c>
      <c r="N445" s="657"/>
      <c r="O445" s="662">
        <v>3000000</v>
      </c>
      <c r="P445" s="656"/>
      <c r="Q445" s="657" t="s">
        <v>1073</v>
      </c>
      <c r="R445" s="658"/>
    </row>
    <row r="446" spans="1:19" ht="30" x14ac:dyDescent="0.25">
      <c r="A446" s="655">
        <v>7</v>
      </c>
      <c r="B446" s="655"/>
      <c r="C446" s="656" t="s">
        <v>3472</v>
      </c>
      <c r="D446" s="660" t="s">
        <v>3473</v>
      </c>
      <c r="E446" s="660" t="s">
        <v>3474</v>
      </c>
      <c r="F446" s="656" t="s">
        <v>3457</v>
      </c>
      <c r="G446" s="659"/>
      <c r="H446" s="659"/>
      <c r="I446" s="659"/>
      <c r="J446" s="659"/>
      <c r="K446" s="659"/>
      <c r="L446" s="656" t="s">
        <v>16</v>
      </c>
      <c r="M446" s="655" t="s">
        <v>239</v>
      </c>
      <c r="N446" s="657"/>
      <c r="O446" s="662">
        <v>6000000</v>
      </c>
      <c r="P446" s="656"/>
      <c r="Q446" s="657" t="s">
        <v>2724</v>
      </c>
      <c r="R446" s="658"/>
    </row>
    <row r="447" spans="1:19" ht="15.75" x14ac:dyDescent="0.25">
      <c r="A447" s="868" t="s">
        <v>2671</v>
      </c>
      <c r="B447" s="868"/>
      <c r="C447" s="868"/>
      <c r="D447" s="868"/>
      <c r="E447" s="868"/>
      <c r="F447" s="868"/>
      <c r="G447" s="868"/>
      <c r="H447" s="868"/>
      <c r="I447" s="868"/>
      <c r="J447" s="868"/>
      <c r="K447" s="868"/>
      <c r="L447" s="868"/>
      <c r="M447" s="868"/>
      <c r="N447" s="657">
        <f>SUM(N440:N446)</f>
        <v>3000000</v>
      </c>
      <c r="O447" s="662">
        <f>SUM(O440:O446)</f>
        <v>41000000</v>
      </c>
      <c r="P447" s="656"/>
      <c r="Q447" s="656"/>
      <c r="R447" s="810">
        <f>N447</f>
        <v>3000000</v>
      </c>
      <c r="S447" s="675">
        <f>O447</f>
        <v>41000000</v>
      </c>
    </row>
    <row r="449" spans="1:19" ht="21" x14ac:dyDescent="0.25">
      <c r="A449" s="653" t="s">
        <v>3475</v>
      </c>
      <c r="B449" s="653"/>
      <c r="C449" s="654"/>
      <c r="D449" s="654"/>
      <c r="E449" s="654"/>
      <c r="F449" s="654"/>
      <c r="G449" s="654"/>
      <c r="H449" s="654"/>
      <c r="I449" s="654"/>
      <c r="J449" s="654"/>
      <c r="K449" s="654"/>
      <c r="L449" s="654"/>
      <c r="M449" s="654"/>
      <c r="N449" s="654"/>
      <c r="O449" s="654"/>
      <c r="P449" s="654"/>
      <c r="Q449" s="654"/>
    </row>
    <row r="450" spans="1:19" x14ac:dyDescent="0.25">
      <c r="A450" s="618" t="s">
        <v>2598</v>
      </c>
      <c r="B450" s="618"/>
      <c r="C450" s="618" t="s">
        <v>2599</v>
      </c>
      <c r="D450" s="618" t="s">
        <v>2600</v>
      </c>
      <c r="E450" s="618" t="s">
        <v>2601</v>
      </c>
      <c r="F450" s="867" t="s">
        <v>2483</v>
      </c>
      <c r="G450" s="867"/>
      <c r="H450" s="867"/>
      <c r="I450" s="867"/>
      <c r="J450" s="867"/>
      <c r="K450" s="867"/>
      <c r="L450" s="618" t="s">
        <v>2602</v>
      </c>
      <c r="M450" s="618" t="s">
        <v>2603</v>
      </c>
      <c r="N450" s="867" t="s">
        <v>2604</v>
      </c>
      <c r="O450" s="867"/>
      <c r="P450" s="867"/>
      <c r="Q450" s="618" t="s">
        <v>2605</v>
      </c>
    </row>
    <row r="451" spans="1:19" x14ac:dyDescent="0.25">
      <c r="A451" s="619"/>
      <c r="B451" s="619"/>
      <c r="C451" s="619"/>
      <c r="D451" s="619"/>
      <c r="E451" s="619"/>
      <c r="F451" s="620" t="s">
        <v>2606</v>
      </c>
      <c r="G451" s="620" t="s">
        <v>11</v>
      </c>
      <c r="H451" s="620" t="s">
        <v>12</v>
      </c>
      <c r="I451" s="620" t="s">
        <v>13</v>
      </c>
      <c r="J451" s="620" t="s">
        <v>14</v>
      </c>
      <c r="K451" s="620" t="s">
        <v>15</v>
      </c>
      <c r="L451" s="621"/>
      <c r="M451" s="621"/>
      <c r="N451" s="620" t="s">
        <v>2488</v>
      </c>
      <c r="O451" s="620" t="s">
        <v>2607</v>
      </c>
      <c r="P451" s="620" t="s">
        <v>2608</v>
      </c>
      <c r="Q451" s="621"/>
    </row>
    <row r="452" spans="1:19" x14ac:dyDescent="0.25">
      <c r="A452" s="622">
        <v>1</v>
      </c>
      <c r="B452" s="622"/>
      <c r="C452" s="622">
        <v>2</v>
      </c>
      <c r="D452" s="622">
        <v>3</v>
      </c>
      <c r="E452" s="622">
        <v>4</v>
      </c>
      <c r="F452" s="622">
        <v>5</v>
      </c>
      <c r="G452" s="622">
        <v>6</v>
      </c>
      <c r="H452" s="622">
        <v>7</v>
      </c>
      <c r="I452" s="622">
        <v>8</v>
      </c>
      <c r="J452" s="622">
        <v>9</v>
      </c>
      <c r="K452" s="622">
        <v>10</v>
      </c>
      <c r="L452" s="622">
        <v>11</v>
      </c>
      <c r="M452" s="622">
        <v>12</v>
      </c>
      <c r="N452" s="622">
        <v>13</v>
      </c>
      <c r="O452" s="622">
        <v>14</v>
      </c>
      <c r="P452" s="622">
        <v>15</v>
      </c>
      <c r="Q452" s="622">
        <v>16</v>
      </c>
    </row>
    <row r="453" spans="1:19" ht="45" x14ac:dyDescent="0.25">
      <c r="A453" s="655">
        <v>1</v>
      </c>
      <c r="B453" s="655">
        <v>5.01</v>
      </c>
      <c r="C453" s="656" t="s">
        <v>3476</v>
      </c>
      <c r="D453" s="656" t="s">
        <v>3477</v>
      </c>
      <c r="E453" s="656" t="s">
        <v>3478</v>
      </c>
      <c r="F453" s="656" t="s">
        <v>3479</v>
      </c>
      <c r="G453" s="656"/>
      <c r="H453" s="656"/>
      <c r="I453" s="656"/>
      <c r="J453" s="656"/>
      <c r="K453" s="656"/>
      <c r="L453" s="656" t="s">
        <v>16</v>
      </c>
      <c r="M453" s="655" t="s">
        <v>3480</v>
      </c>
      <c r="N453" s="657"/>
      <c r="O453" s="662">
        <f>70*4*50000</f>
        <v>14000000</v>
      </c>
      <c r="P453" s="656"/>
      <c r="Q453" s="657" t="s">
        <v>3462</v>
      </c>
      <c r="R453" s="658"/>
    </row>
    <row r="454" spans="1:19" ht="30" x14ac:dyDescent="0.25">
      <c r="A454" s="655">
        <v>2</v>
      </c>
      <c r="B454" s="655"/>
      <c r="C454" s="656" t="s">
        <v>3481</v>
      </c>
      <c r="D454" s="656" t="s">
        <v>3482</v>
      </c>
      <c r="E454" s="656" t="s">
        <v>3474</v>
      </c>
      <c r="F454" s="656" t="s">
        <v>3479</v>
      </c>
      <c r="G454" s="656"/>
      <c r="H454" s="656"/>
      <c r="I454" s="656"/>
      <c r="J454" s="656"/>
      <c r="K454" s="656"/>
      <c r="L454" s="656" t="s">
        <v>16</v>
      </c>
      <c r="M454" s="655" t="s">
        <v>239</v>
      </c>
      <c r="N454" s="657"/>
      <c r="O454" s="662">
        <f>30*200000</f>
        <v>6000000</v>
      </c>
      <c r="P454" s="656"/>
      <c r="Q454" s="657" t="s">
        <v>3462</v>
      </c>
      <c r="R454" s="658"/>
    </row>
    <row r="455" spans="1:19" ht="45" x14ac:dyDescent="0.25">
      <c r="A455" s="655">
        <v>3</v>
      </c>
      <c r="B455" s="655"/>
      <c r="C455" s="656" t="s">
        <v>2084</v>
      </c>
      <c r="D455" s="660" t="s">
        <v>3483</v>
      </c>
      <c r="E455" s="660" t="s">
        <v>3484</v>
      </c>
      <c r="F455" s="656" t="s">
        <v>3479</v>
      </c>
      <c r="G455" s="659"/>
      <c r="H455" s="659"/>
      <c r="I455" s="659"/>
      <c r="J455" s="659"/>
      <c r="K455" s="659"/>
      <c r="L455" s="656" t="s">
        <v>16</v>
      </c>
      <c r="M455" s="663" t="s">
        <v>679</v>
      </c>
      <c r="N455" s="657"/>
      <c r="O455" s="662">
        <f>6*500000</f>
        <v>3000000</v>
      </c>
      <c r="P455" s="656"/>
      <c r="Q455" s="657" t="s">
        <v>3462</v>
      </c>
      <c r="R455" s="658"/>
    </row>
    <row r="456" spans="1:19" ht="30" x14ac:dyDescent="0.25">
      <c r="A456" s="655">
        <v>4</v>
      </c>
      <c r="B456" s="655"/>
      <c r="C456" s="656" t="s">
        <v>3485</v>
      </c>
      <c r="D456" s="660" t="s">
        <v>3486</v>
      </c>
      <c r="E456" s="660" t="s">
        <v>3487</v>
      </c>
      <c r="F456" s="656" t="s">
        <v>3479</v>
      </c>
      <c r="G456" s="659"/>
      <c r="H456" s="659"/>
      <c r="I456" s="659"/>
      <c r="J456" s="659"/>
      <c r="K456" s="659"/>
      <c r="L456" s="656" t="s">
        <v>16</v>
      </c>
      <c r="M456" s="663" t="s">
        <v>679</v>
      </c>
      <c r="N456" s="657"/>
      <c r="O456" s="662">
        <f>6*250000</f>
        <v>1500000</v>
      </c>
      <c r="P456" s="656"/>
      <c r="Q456" s="657" t="s">
        <v>3462</v>
      </c>
      <c r="R456" s="658"/>
    </row>
    <row r="457" spans="1:19" ht="15.75" x14ac:dyDescent="0.25">
      <c r="A457" s="868" t="s">
        <v>2671</v>
      </c>
      <c r="B457" s="868"/>
      <c r="C457" s="868"/>
      <c r="D457" s="868"/>
      <c r="E457" s="868"/>
      <c r="F457" s="868"/>
      <c r="G457" s="868"/>
      <c r="H457" s="868"/>
      <c r="I457" s="868"/>
      <c r="J457" s="868"/>
      <c r="K457" s="868"/>
      <c r="L457" s="868"/>
      <c r="M457" s="868"/>
      <c r="N457" s="657">
        <f>SUM(N453:N456)</f>
        <v>0</v>
      </c>
      <c r="O457" s="662">
        <f>SUM(O452:O456)</f>
        <v>24500014</v>
      </c>
      <c r="P457" s="656"/>
      <c r="Q457" s="656"/>
      <c r="R457" s="810">
        <f>N457</f>
        <v>0</v>
      </c>
      <c r="S457" s="675">
        <f>O457</f>
        <v>24500014</v>
      </c>
    </row>
    <row r="459" spans="1:19" ht="21" x14ac:dyDescent="0.25">
      <c r="A459" s="653" t="s">
        <v>3488</v>
      </c>
      <c r="B459" s="653"/>
    </row>
    <row r="460" spans="1:19" x14ac:dyDescent="0.25">
      <c r="A460" s="618" t="s">
        <v>2598</v>
      </c>
      <c r="B460" s="618"/>
      <c r="C460" s="618" t="s">
        <v>2599</v>
      </c>
      <c r="D460" s="618" t="s">
        <v>2600</v>
      </c>
      <c r="E460" s="618" t="s">
        <v>2601</v>
      </c>
      <c r="F460" s="867" t="s">
        <v>2483</v>
      </c>
      <c r="G460" s="867"/>
      <c r="H460" s="867"/>
      <c r="I460" s="867"/>
      <c r="J460" s="867"/>
      <c r="K460" s="867"/>
      <c r="L460" s="618" t="s">
        <v>2602</v>
      </c>
      <c r="M460" s="618" t="s">
        <v>2603</v>
      </c>
      <c r="N460" s="867" t="s">
        <v>2604</v>
      </c>
      <c r="O460" s="867"/>
      <c r="P460" s="867"/>
      <c r="Q460" s="618" t="s">
        <v>2605</v>
      </c>
    </row>
    <row r="461" spans="1:19" x14ac:dyDescent="0.25">
      <c r="A461" s="619"/>
      <c r="B461" s="619"/>
      <c r="C461" s="619"/>
      <c r="D461" s="619"/>
      <c r="E461" s="619"/>
      <c r="F461" s="620" t="s">
        <v>2606</v>
      </c>
      <c r="G461" s="620" t="s">
        <v>11</v>
      </c>
      <c r="H461" s="620" t="s">
        <v>12</v>
      </c>
      <c r="I461" s="620" t="s">
        <v>13</v>
      </c>
      <c r="J461" s="620" t="s">
        <v>14</v>
      </c>
      <c r="K461" s="620" t="s">
        <v>15</v>
      </c>
      <c r="L461" s="621"/>
      <c r="M461" s="621"/>
      <c r="N461" s="620" t="s">
        <v>2488</v>
      </c>
      <c r="O461" s="620" t="s">
        <v>2607</v>
      </c>
      <c r="P461" s="620" t="s">
        <v>2608</v>
      </c>
      <c r="Q461" s="621"/>
    </row>
    <row r="462" spans="1:19" x14ac:dyDescent="0.25">
      <c r="A462" s="622">
        <v>1</v>
      </c>
      <c r="B462" s="622"/>
      <c r="C462" s="622">
        <v>2</v>
      </c>
      <c r="D462" s="622">
        <v>3</v>
      </c>
      <c r="E462" s="622">
        <v>4</v>
      </c>
      <c r="F462" s="622">
        <v>5</v>
      </c>
      <c r="G462" s="622">
        <v>6</v>
      </c>
      <c r="H462" s="622">
        <v>7</v>
      </c>
      <c r="I462" s="622">
        <v>8</v>
      </c>
      <c r="J462" s="622">
        <v>9</v>
      </c>
      <c r="K462" s="622">
        <v>10</v>
      </c>
      <c r="L462" s="622">
        <v>11</v>
      </c>
      <c r="M462" s="622">
        <v>12</v>
      </c>
      <c r="N462" s="622">
        <v>13</v>
      </c>
      <c r="O462" s="622">
        <v>14</v>
      </c>
      <c r="P462" s="622">
        <v>15</v>
      </c>
      <c r="Q462" s="622">
        <v>16</v>
      </c>
    </row>
    <row r="463" spans="1:19" ht="45" x14ac:dyDescent="0.25">
      <c r="A463" s="655">
        <v>1</v>
      </c>
      <c r="B463" s="655"/>
      <c r="C463" s="656" t="s">
        <v>3489</v>
      </c>
      <c r="D463" s="656" t="s">
        <v>3490</v>
      </c>
      <c r="E463" s="656" t="s">
        <v>3491</v>
      </c>
      <c r="F463" s="656"/>
      <c r="G463" s="656"/>
      <c r="H463" s="656"/>
      <c r="I463" s="656"/>
      <c r="J463" s="656"/>
      <c r="K463" s="656"/>
      <c r="L463" s="656" t="s">
        <v>1141</v>
      </c>
      <c r="M463" s="662" t="s">
        <v>3492</v>
      </c>
      <c r="N463" s="662">
        <f>40*20000*2+(1000000)</f>
        <v>2600000</v>
      </c>
      <c r="O463" s="662"/>
      <c r="P463" s="656"/>
      <c r="Q463" s="657"/>
    </row>
    <row r="464" spans="1:19" x14ac:dyDescent="0.25">
      <c r="A464" s="655"/>
      <c r="B464" s="655"/>
      <c r="C464" s="656"/>
      <c r="D464" s="811"/>
      <c r="E464" s="656"/>
      <c r="F464" s="656"/>
      <c r="G464" s="656"/>
      <c r="H464" s="656"/>
      <c r="I464" s="656"/>
      <c r="J464" s="656"/>
      <c r="K464" s="656"/>
      <c r="L464" s="656"/>
      <c r="M464" s="656"/>
      <c r="N464" s="657">
        <f>N463</f>
        <v>2600000</v>
      </c>
      <c r="O464" s="662"/>
      <c r="P464" s="656"/>
      <c r="Q464" s="657"/>
      <c r="R464" s="675">
        <f>N464</f>
        <v>2600000</v>
      </c>
      <c r="S464" s="675">
        <f>O464</f>
        <v>0</v>
      </c>
    </row>
    <row r="466" spans="1:19" ht="21" x14ac:dyDescent="0.25">
      <c r="A466" s="653" t="s">
        <v>3493</v>
      </c>
      <c r="B466" s="653"/>
      <c r="C466" s="654"/>
      <c r="D466" s="654"/>
      <c r="E466" s="654"/>
      <c r="F466" s="654"/>
      <c r="G466" s="654"/>
      <c r="H466" s="654"/>
      <c r="I466" s="654"/>
      <c r="J466" s="654"/>
      <c r="K466" s="654"/>
      <c r="L466" s="654"/>
      <c r="M466" s="654"/>
      <c r="N466" s="654"/>
      <c r="O466" s="654"/>
      <c r="P466" s="654"/>
      <c r="Q466" s="654"/>
    </row>
    <row r="467" spans="1:19" x14ac:dyDescent="0.25">
      <c r="A467" s="618" t="s">
        <v>2598</v>
      </c>
      <c r="B467" s="618"/>
      <c r="C467" s="618" t="s">
        <v>2599</v>
      </c>
      <c r="D467" s="618" t="s">
        <v>2600</v>
      </c>
      <c r="E467" s="618" t="s">
        <v>2601</v>
      </c>
      <c r="F467" s="867" t="s">
        <v>2483</v>
      </c>
      <c r="G467" s="867"/>
      <c r="H467" s="867"/>
      <c r="I467" s="867"/>
      <c r="J467" s="867"/>
      <c r="K467" s="867"/>
      <c r="L467" s="618" t="s">
        <v>2602</v>
      </c>
      <c r="M467" s="618" t="s">
        <v>2603</v>
      </c>
      <c r="N467" s="867" t="s">
        <v>2604</v>
      </c>
      <c r="O467" s="867"/>
      <c r="P467" s="867"/>
      <c r="Q467" s="618" t="s">
        <v>2605</v>
      </c>
    </row>
    <row r="468" spans="1:19" x14ac:dyDescent="0.25">
      <c r="A468" s="619"/>
      <c r="B468" s="619"/>
      <c r="C468" s="619"/>
      <c r="D468" s="619"/>
      <c r="E468" s="619"/>
      <c r="F468" s="620" t="s">
        <v>2606</v>
      </c>
      <c r="G468" s="620" t="s">
        <v>11</v>
      </c>
      <c r="H468" s="620" t="s">
        <v>12</v>
      </c>
      <c r="I468" s="620" t="s">
        <v>13</v>
      </c>
      <c r="J468" s="620" t="s">
        <v>14</v>
      </c>
      <c r="K468" s="620" t="s">
        <v>15</v>
      </c>
      <c r="L468" s="621"/>
      <c r="M468" s="621"/>
      <c r="N468" s="620" t="s">
        <v>2488</v>
      </c>
      <c r="O468" s="620" t="s">
        <v>2607</v>
      </c>
      <c r="P468" s="620" t="s">
        <v>2608</v>
      </c>
      <c r="Q468" s="621"/>
    </row>
    <row r="469" spans="1:19" x14ac:dyDescent="0.25">
      <c r="A469" s="622">
        <v>1</v>
      </c>
      <c r="B469" s="622"/>
      <c r="C469" s="622">
        <v>2</v>
      </c>
      <c r="D469" s="622">
        <v>3</v>
      </c>
      <c r="E469" s="622">
        <v>4</v>
      </c>
      <c r="F469" s="622">
        <v>5</v>
      </c>
      <c r="G469" s="622">
        <v>6</v>
      </c>
      <c r="H469" s="622">
        <v>7</v>
      </c>
      <c r="I469" s="622">
        <v>8</v>
      </c>
      <c r="J469" s="622">
        <v>9</v>
      </c>
      <c r="K469" s="622">
        <v>10</v>
      </c>
      <c r="L469" s="622">
        <v>11</v>
      </c>
      <c r="M469" s="622">
        <v>12</v>
      </c>
      <c r="N469" s="622">
        <v>13</v>
      </c>
      <c r="O469" s="622">
        <v>14</v>
      </c>
      <c r="P469" s="622">
        <v>15</v>
      </c>
      <c r="Q469" s="622">
        <v>16</v>
      </c>
    </row>
    <row r="470" spans="1:19" ht="30" x14ac:dyDescent="0.25">
      <c r="A470" s="655">
        <v>1</v>
      </c>
      <c r="B470" s="655"/>
      <c r="C470" s="656" t="s">
        <v>3494</v>
      </c>
      <c r="D470" s="811" t="s">
        <v>3495</v>
      </c>
      <c r="E470" s="656" t="s">
        <v>3496</v>
      </c>
      <c r="F470" s="656"/>
      <c r="G470" s="656"/>
      <c r="H470" s="656"/>
      <c r="I470" s="656"/>
      <c r="J470" s="656"/>
      <c r="K470" s="656"/>
      <c r="L470" s="656" t="s">
        <v>1141</v>
      </c>
      <c r="M470" s="656" t="s">
        <v>3497</v>
      </c>
      <c r="N470" s="657">
        <f>60*4*125000</f>
        <v>30000000</v>
      </c>
      <c r="O470" s="662"/>
      <c r="P470" s="656"/>
      <c r="Q470" s="657"/>
      <c r="R470" s="658"/>
    </row>
    <row r="471" spans="1:19" x14ac:dyDescent="0.25">
      <c r="A471" s="655"/>
      <c r="B471" s="655"/>
      <c r="C471" s="656"/>
      <c r="D471" s="811"/>
      <c r="E471" s="656"/>
      <c r="F471" s="656"/>
      <c r="G471" s="659"/>
      <c r="H471" s="659"/>
      <c r="I471" s="659"/>
      <c r="J471" s="659"/>
      <c r="K471" s="659"/>
      <c r="L471" s="656"/>
      <c r="M471" s="659"/>
      <c r="N471" s="657">
        <f>SUM(N470:N470)</f>
        <v>30000000</v>
      </c>
      <c r="O471" s="662"/>
      <c r="P471" s="656"/>
      <c r="Q471" s="657"/>
      <c r="R471" s="810">
        <f>N471</f>
        <v>30000000</v>
      </c>
      <c r="S471" s="675">
        <f>O471</f>
        <v>0</v>
      </c>
    </row>
    <row r="473" spans="1:19" ht="21" x14ac:dyDescent="0.25">
      <c r="A473" s="653" t="s">
        <v>3498</v>
      </c>
      <c r="B473" s="653"/>
      <c r="C473" s="654"/>
      <c r="D473" s="654"/>
      <c r="E473" s="654"/>
      <c r="F473" s="654"/>
      <c r="G473" s="654"/>
      <c r="H473" s="654"/>
      <c r="I473" s="654"/>
      <c r="J473" s="654"/>
      <c r="K473" s="654"/>
      <c r="L473" s="654"/>
      <c r="M473" s="654"/>
      <c r="N473" s="654"/>
      <c r="O473" s="654"/>
      <c r="P473" s="654"/>
      <c r="Q473" s="654"/>
    </row>
    <row r="474" spans="1:19" x14ac:dyDescent="0.25">
      <c r="A474" s="618" t="s">
        <v>2598</v>
      </c>
      <c r="B474" s="618"/>
      <c r="C474" s="618" t="s">
        <v>2599</v>
      </c>
      <c r="D474" s="618" t="s">
        <v>2600</v>
      </c>
      <c r="E474" s="618" t="s">
        <v>2601</v>
      </c>
      <c r="F474" s="867" t="s">
        <v>2483</v>
      </c>
      <c r="G474" s="867"/>
      <c r="H474" s="867"/>
      <c r="I474" s="867"/>
      <c r="J474" s="867"/>
      <c r="K474" s="867"/>
      <c r="L474" s="618" t="s">
        <v>2602</v>
      </c>
      <c r="M474" s="618" t="s">
        <v>2603</v>
      </c>
      <c r="N474" s="867" t="s">
        <v>2604</v>
      </c>
      <c r="O474" s="867"/>
      <c r="P474" s="867"/>
      <c r="Q474" s="618" t="s">
        <v>2605</v>
      </c>
    </row>
    <row r="475" spans="1:19" x14ac:dyDescent="0.25">
      <c r="A475" s="619"/>
      <c r="B475" s="619"/>
      <c r="C475" s="619"/>
      <c r="D475" s="619"/>
      <c r="E475" s="619"/>
      <c r="F475" s="620" t="s">
        <v>2606</v>
      </c>
      <c r="G475" s="620" t="s">
        <v>11</v>
      </c>
      <c r="H475" s="620" t="s">
        <v>12</v>
      </c>
      <c r="I475" s="620" t="s">
        <v>13</v>
      </c>
      <c r="J475" s="620" t="s">
        <v>14</v>
      </c>
      <c r="K475" s="620" t="s">
        <v>15</v>
      </c>
      <c r="L475" s="621"/>
      <c r="M475" s="621"/>
      <c r="N475" s="620" t="s">
        <v>2488</v>
      </c>
      <c r="O475" s="620" t="s">
        <v>2607</v>
      </c>
      <c r="P475" s="620" t="s">
        <v>2608</v>
      </c>
      <c r="Q475" s="621"/>
    </row>
    <row r="476" spans="1:19" x14ac:dyDescent="0.25">
      <c r="A476" s="622">
        <v>1</v>
      </c>
      <c r="B476" s="622"/>
      <c r="C476" s="622">
        <v>2</v>
      </c>
      <c r="D476" s="622">
        <v>3</v>
      </c>
      <c r="E476" s="622">
        <v>4</v>
      </c>
      <c r="F476" s="622">
        <v>5</v>
      </c>
      <c r="G476" s="622">
        <v>6</v>
      </c>
      <c r="H476" s="622">
        <v>7</v>
      </c>
      <c r="I476" s="622">
        <v>8</v>
      </c>
      <c r="J476" s="622">
        <v>9</v>
      </c>
      <c r="K476" s="622">
        <v>10</v>
      </c>
      <c r="L476" s="622">
        <v>11</v>
      </c>
      <c r="M476" s="622">
        <v>12</v>
      </c>
      <c r="N476" s="622">
        <v>13</v>
      </c>
      <c r="O476" s="622">
        <v>14</v>
      </c>
      <c r="P476" s="622">
        <v>15</v>
      </c>
      <c r="Q476" s="622">
        <v>16</v>
      </c>
    </row>
    <row r="477" spans="1:19" ht="30" x14ac:dyDescent="0.25">
      <c r="A477" s="655">
        <v>1</v>
      </c>
      <c r="B477" s="655"/>
      <c r="C477" s="656" t="s">
        <v>3358</v>
      </c>
      <c r="D477" s="656" t="s">
        <v>3499</v>
      </c>
      <c r="E477" s="656" t="s">
        <v>3500</v>
      </c>
      <c r="F477" s="656"/>
      <c r="G477" s="656"/>
      <c r="H477" s="656"/>
      <c r="I477" s="656"/>
      <c r="J477" s="656"/>
      <c r="K477" s="656"/>
      <c r="L477" s="656" t="s">
        <v>1141</v>
      </c>
      <c r="M477" s="656" t="s">
        <v>3497</v>
      </c>
      <c r="N477" s="657">
        <f>60*4*20000+(2000000)+18000</f>
        <v>6818000</v>
      </c>
      <c r="O477" s="662"/>
      <c r="P477" s="656"/>
      <c r="Q477" s="657"/>
      <c r="R477" s="658"/>
    </row>
    <row r="478" spans="1:19" x14ac:dyDescent="0.25">
      <c r="A478" s="655"/>
      <c r="B478" s="655"/>
      <c r="C478" s="656"/>
      <c r="D478" s="656"/>
      <c r="E478" s="656"/>
      <c r="F478" s="656"/>
      <c r="G478" s="656"/>
      <c r="H478" s="656"/>
      <c r="I478" s="656"/>
      <c r="J478" s="656"/>
      <c r="K478" s="656"/>
      <c r="L478" s="656"/>
      <c r="M478" s="656"/>
      <c r="N478" s="657"/>
      <c r="O478" s="662"/>
      <c r="P478" s="656"/>
      <c r="Q478" s="657"/>
      <c r="R478" s="658"/>
    </row>
    <row r="479" spans="1:19" x14ac:dyDescent="0.25">
      <c r="A479" s="655"/>
      <c r="B479" s="655"/>
      <c r="C479" s="656"/>
      <c r="D479" s="811"/>
      <c r="E479" s="656"/>
      <c r="F479" s="656"/>
      <c r="G479" s="659"/>
      <c r="H479" s="659"/>
      <c r="I479" s="659"/>
      <c r="J479" s="659"/>
      <c r="K479" s="659"/>
      <c r="L479" s="656"/>
      <c r="M479" s="659"/>
      <c r="N479" s="657">
        <f>SUM(N477:N477)</f>
        <v>6818000</v>
      </c>
      <c r="O479" s="662"/>
      <c r="P479" s="656"/>
      <c r="Q479" s="657"/>
      <c r="R479" s="810">
        <f>N479</f>
        <v>6818000</v>
      </c>
      <c r="S479" s="675">
        <f>O479</f>
        <v>0</v>
      </c>
    </row>
    <row r="483" spans="1:19" x14ac:dyDescent="0.25">
      <c r="R483" s="769">
        <f>SUM(R37:R480)</f>
        <v>550093000</v>
      </c>
      <c r="S483" s="769">
        <f>SUM(S37:S472)</f>
        <v>10202901014</v>
      </c>
    </row>
    <row r="484" spans="1:19" ht="21" x14ac:dyDescent="0.25">
      <c r="A484" s="653" t="s">
        <v>3501</v>
      </c>
      <c r="B484" s="653"/>
      <c r="C484" s="654"/>
      <c r="D484" s="654"/>
      <c r="E484" s="654"/>
      <c r="F484" s="654"/>
      <c r="G484" s="654"/>
      <c r="H484" s="654"/>
      <c r="I484" s="654"/>
      <c r="J484" s="654"/>
      <c r="K484" s="654"/>
      <c r="L484" s="654"/>
      <c r="M484" s="654"/>
      <c r="N484" s="654"/>
      <c r="O484" s="654"/>
      <c r="P484" s="654"/>
      <c r="Q484" s="654"/>
    </row>
    <row r="485" spans="1:19" x14ac:dyDescent="0.25">
      <c r="A485" s="618" t="s">
        <v>2598</v>
      </c>
      <c r="B485" s="618"/>
      <c r="C485" s="618" t="s">
        <v>2599</v>
      </c>
      <c r="D485" s="618" t="s">
        <v>2600</v>
      </c>
      <c r="E485" s="618" t="s">
        <v>2601</v>
      </c>
      <c r="F485" s="867" t="s">
        <v>2483</v>
      </c>
      <c r="G485" s="867"/>
      <c r="H485" s="867"/>
      <c r="I485" s="867"/>
      <c r="J485" s="867"/>
      <c r="K485" s="867"/>
      <c r="L485" s="618" t="s">
        <v>2602</v>
      </c>
      <c r="M485" s="618" t="s">
        <v>2603</v>
      </c>
      <c r="N485" s="867" t="s">
        <v>2604</v>
      </c>
      <c r="O485" s="867"/>
      <c r="P485" s="867"/>
      <c r="Q485" s="618" t="s">
        <v>2605</v>
      </c>
    </row>
    <row r="486" spans="1:19" x14ac:dyDescent="0.25">
      <c r="A486" s="619"/>
      <c r="B486" s="619"/>
      <c r="C486" s="619"/>
      <c r="D486" s="619"/>
      <c r="E486" s="619"/>
      <c r="F486" s="620" t="s">
        <v>2606</v>
      </c>
      <c r="G486" s="620" t="s">
        <v>11</v>
      </c>
      <c r="H486" s="620" t="s">
        <v>12</v>
      </c>
      <c r="I486" s="620" t="s">
        <v>13</v>
      </c>
      <c r="J486" s="620" t="s">
        <v>14</v>
      </c>
      <c r="K486" s="620" t="s">
        <v>15</v>
      </c>
      <c r="L486" s="621"/>
      <c r="M486" s="621"/>
      <c r="N486" s="620" t="s">
        <v>2488</v>
      </c>
      <c r="O486" s="620" t="s">
        <v>2607</v>
      </c>
      <c r="P486" s="620" t="s">
        <v>2608</v>
      </c>
      <c r="Q486" s="621"/>
    </row>
    <row r="487" spans="1:19" x14ac:dyDescent="0.25">
      <c r="A487" s="622">
        <v>1</v>
      </c>
      <c r="B487" s="622"/>
      <c r="C487" s="622">
        <v>2</v>
      </c>
      <c r="D487" s="622">
        <v>3</v>
      </c>
      <c r="E487" s="622">
        <v>4</v>
      </c>
      <c r="F487" s="622">
        <v>5</v>
      </c>
      <c r="G487" s="622">
        <v>6</v>
      </c>
      <c r="H487" s="622">
        <v>7</v>
      </c>
      <c r="I487" s="622">
        <v>8</v>
      </c>
      <c r="J487" s="622">
        <v>9</v>
      </c>
      <c r="K487" s="622">
        <v>10</v>
      </c>
      <c r="L487" s="622">
        <v>11</v>
      </c>
      <c r="M487" s="622">
        <v>12</v>
      </c>
      <c r="N487" s="622">
        <v>13</v>
      </c>
      <c r="O487" s="622">
        <v>14</v>
      </c>
      <c r="P487" s="622">
        <v>15</v>
      </c>
      <c r="Q487" s="622">
        <v>16</v>
      </c>
    </row>
    <row r="488" spans="1:19" x14ac:dyDescent="0.25">
      <c r="A488" s="812">
        <v>1</v>
      </c>
      <c r="B488" s="812"/>
      <c r="C488" s="813" t="s">
        <v>3502</v>
      </c>
      <c r="D488" s="814"/>
      <c r="E488" s="814"/>
      <c r="F488" s="812"/>
      <c r="G488" s="812"/>
      <c r="H488" s="812"/>
      <c r="I488" s="812"/>
      <c r="J488" s="812"/>
      <c r="K488" s="812"/>
      <c r="L488" s="815" t="s">
        <v>16</v>
      </c>
      <c r="M488" s="815" t="s">
        <v>3503</v>
      </c>
      <c r="N488" s="816">
        <v>18000000</v>
      </c>
      <c r="O488" s="812"/>
      <c r="P488" s="812"/>
      <c r="Q488" s="812"/>
    </row>
    <row r="489" spans="1:19" x14ac:dyDescent="0.25">
      <c r="A489" s="812">
        <v>2</v>
      </c>
      <c r="B489" s="812"/>
      <c r="C489" s="813" t="s">
        <v>3504</v>
      </c>
      <c r="D489" s="814"/>
      <c r="E489" s="814"/>
      <c r="F489" s="812"/>
      <c r="G489" s="812"/>
      <c r="H489" s="812"/>
      <c r="I489" s="812"/>
      <c r="J489" s="812"/>
      <c r="K489" s="812"/>
      <c r="L489" s="815" t="s">
        <v>16</v>
      </c>
      <c r="M489" s="815" t="s">
        <v>3505</v>
      </c>
      <c r="N489" s="816">
        <v>5000000</v>
      </c>
      <c r="O489" s="812"/>
      <c r="P489" s="812"/>
      <c r="Q489" s="812"/>
    </row>
    <row r="490" spans="1:19" x14ac:dyDescent="0.25">
      <c r="A490" s="812">
        <v>3</v>
      </c>
      <c r="B490" s="812"/>
      <c r="C490" s="813" t="s">
        <v>3506</v>
      </c>
      <c r="D490" s="814"/>
      <c r="E490" s="814"/>
      <c r="F490" s="812"/>
      <c r="G490" s="812"/>
      <c r="H490" s="812"/>
      <c r="I490" s="812"/>
      <c r="J490" s="812"/>
      <c r="K490" s="812"/>
      <c r="L490" s="815" t="s">
        <v>16</v>
      </c>
      <c r="M490" s="815" t="s">
        <v>3507</v>
      </c>
      <c r="N490" s="816">
        <v>174000000</v>
      </c>
      <c r="O490" s="812"/>
      <c r="P490" s="812"/>
      <c r="Q490" s="812"/>
    </row>
    <row r="491" spans="1:19" x14ac:dyDescent="0.25">
      <c r="A491" s="812">
        <v>4</v>
      </c>
      <c r="B491" s="812"/>
      <c r="C491" s="813" t="s">
        <v>3508</v>
      </c>
      <c r="D491" s="814"/>
      <c r="E491" s="814"/>
      <c r="F491" s="812"/>
      <c r="G491" s="812"/>
      <c r="H491" s="812"/>
      <c r="I491" s="812"/>
      <c r="J491" s="812"/>
      <c r="K491" s="812"/>
      <c r="L491" s="815" t="s">
        <v>16</v>
      </c>
      <c r="M491" s="815" t="s">
        <v>3509</v>
      </c>
      <c r="N491" s="816">
        <v>31500000</v>
      </c>
      <c r="O491" s="812"/>
      <c r="P491" s="812"/>
      <c r="Q491" s="812"/>
    </row>
    <row r="492" spans="1:19" x14ac:dyDescent="0.25">
      <c r="A492" s="812">
        <v>5</v>
      </c>
      <c r="B492" s="812"/>
      <c r="C492" s="813" t="s">
        <v>3510</v>
      </c>
      <c r="D492" s="814"/>
      <c r="E492" s="814"/>
      <c r="F492" s="812"/>
      <c r="G492" s="812"/>
      <c r="H492" s="812"/>
      <c r="I492" s="812"/>
      <c r="J492" s="812"/>
      <c r="K492" s="812"/>
      <c r="L492" s="815" t="s">
        <v>16</v>
      </c>
      <c r="M492" s="815" t="s">
        <v>3511</v>
      </c>
      <c r="N492" s="816">
        <v>1620000</v>
      </c>
      <c r="O492" s="812"/>
      <c r="P492" s="812"/>
      <c r="Q492" s="812"/>
    </row>
    <row r="493" spans="1:19" x14ac:dyDescent="0.25">
      <c r="A493" s="812">
        <v>6</v>
      </c>
      <c r="B493" s="812"/>
      <c r="C493" s="813" t="s">
        <v>3512</v>
      </c>
      <c r="D493" s="814"/>
      <c r="E493" s="814"/>
      <c r="F493" s="812"/>
      <c r="G493" s="812"/>
      <c r="H493" s="812"/>
      <c r="I493" s="812"/>
      <c r="J493" s="812"/>
      <c r="K493" s="812"/>
      <c r="L493" s="815" t="s">
        <v>16</v>
      </c>
      <c r="M493" s="815" t="s">
        <v>3334</v>
      </c>
      <c r="N493" s="816">
        <v>77760000</v>
      </c>
      <c r="O493" s="812"/>
      <c r="P493" s="812"/>
      <c r="Q493" s="812"/>
    </row>
    <row r="494" spans="1:19" x14ac:dyDescent="0.25">
      <c r="A494" s="812">
        <v>7</v>
      </c>
      <c r="B494" s="812"/>
      <c r="C494" s="813" t="s">
        <v>3513</v>
      </c>
      <c r="D494" s="814"/>
      <c r="E494" s="814"/>
      <c r="F494" s="812"/>
      <c r="G494" s="812"/>
      <c r="H494" s="812"/>
      <c r="I494" s="812"/>
      <c r="J494" s="812"/>
      <c r="K494" s="812"/>
      <c r="L494" s="815" t="s">
        <v>16</v>
      </c>
      <c r="M494" s="815" t="s">
        <v>3511</v>
      </c>
      <c r="N494" s="816">
        <v>1620000</v>
      </c>
      <c r="O494" s="812"/>
      <c r="P494" s="812"/>
      <c r="Q494" s="812"/>
    </row>
    <row r="495" spans="1:19" x14ac:dyDescent="0.25">
      <c r="A495" s="812">
        <v>8</v>
      </c>
      <c r="B495" s="812"/>
      <c r="C495" s="813" t="s">
        <v>3514</v>
      </c>
      <c r="D495" s="814"/>
      <c r="E495" s="814"/>
      <c r="F495" s="812"/>
      <c r="G495" s="812"/>
      <c r="H495" s="812"/>
      <c r="I495" s="812"/>
      <c r="J495" s="812"/>
      <c r="K495" s="812"/>
      <c r="L495" s="815" t="s">
        <v>16</v>
      </c>
      <c r="M495" s="815" t="s">
        <v>3515</v>
      </c>
      <c r="N495" s="816">
        <v>3400000</v>
      </c>
      <c r="O495" s="812"/>
      <c r="P495" s="812"/>
      <c r="Q495" s="812"/>
    </row>
    <row r="496" spans="1:19" x14ac:dyDescent="0.25">
      <c r="A496" s="812">
        <v>9</v>
      </c>
      <c r="B496" s="812"/>
      <c r="C496" s="813" t="s">
        <v>3516</v>
      </c>
      <c r="D496" s="814"/>
      <c r="E496" s="814"/>
      <c r="F496" s="812"/>
      <c r="G496" s="812"/>
      <c r="H496" s="812"/>
      <c r="I496" s="812"/>
      <c r="J496" s="812"/>
      <c r="K496" s="812"/>
      <c r="L496" s="815" t="s">
        <v>16</v>
      </c>
      <c r="M496" s="815" t="s">
        <v>3517</v>
      </c>
      <c r="N496" s="816">
        <v>6000000</v>
      </c>
      <c r="O496" s="812"/>
      <c r="P496" s="812"/>
      <c r="Q496" s="812"/>
    </row>
    <row r="497" spans="1:19" x14ac:dyDescent="0.25">
      <c r="A497" s="812">
        <v>10</v>
      </c>
      <c r="B497" s="812"/>
      <c r="C497" s="813" t="s">
        <v>3518</v>
      </c>
      <c r="D497" s="814"/>
      <c r="E497" s="814"/>
      <c r="F497" s="812"/>
      <c r="G497" s="812"/>
      <c r="H497" s="812"/>
      <c r="I497" s="812"/>
      <c r="J497" s="812"/>
      <c r="K497" s="812"/>
      <c r="L497" s="815" t="s">
        <v>16</v>
      </c>
      <c r="M497" s="815" t="s">
        <v>3519</v>
      </c>
      <c r="N497" s="816">
        <v>21000000</v>
      </c>
      <c r="O497" s="812"/>
      <c r="P497" s="812"/>
      <c r="Q497" s="812"/>
    </row>
    <row r="498" spans="1:19" x14ac:dyDescent="0.25">
      <c r="A498" s="812">
        <v>11</v>
      </c>
      <c r="B498" s="812"/>
      <c r="C498" s="813" t="s">
        <v>3520</v>
      </c>
      <c r="D498" s="814"/>
      <c r="E498" s="814"/>
      <c r="F498" s="812"/>
      <c r="G498" s="812"/>
      <c r="H498" s="812"/>
      <c r="I498" s="812"/>
      <c r="J498" s="812"/>
      <c r="K498" s="812"/>
      <c r="L498" s="815" t="s">
        <v>16</v>
      </c>
      <c r="M498" s="815" t="s">
        <v>3521</v>
      </c>
      <c r="N498" s="816">
        <v>69000000</v>
      </c>
      <c r="O498" s="812"/>
      <c r="P498" s="812"/>
      <c r="Q498" s="812"/>
    </row>
    <row r="499" spans="1:19" x14ac:dyDescent="0.25">
      <c r="A499" s="812">
        <v>12</v>
      </c>
      <c r="B499" s="812"/>
      <c r="C499" s="813" t="s">
        <v>3522</v>
      </c>
      <c r="D499" s="814"/>
      <c r="E499" s="814"/>
      <c r="F499" s="812"/>
      <c r="G499" s="812"/>
      <c r="H499" s="812"/>
      <c r="I499" s="812"/>
      <c r="J499" s="812"/>
      <c r="K499" s="812"/>
      <c r="L499" s="815" t="s">
        <v>16</v>
      </c>
      <c r="M499" s="815" t="s">
        <v>3523</v>
      </c>
      <c r="N499" s="816">
        <v>14670000</v>
      </c>
      <c r="O499" s="812"/>
      <c r="P499" s="812"/>
      <c r="Q499" s="812"/>
    </row>
    <row r="500" spans="1:19" x14ac:dyDescent="0.25">
      <c r="A500" s="812">
        <v>13</v>
      </c>
      <c r="B500" s="812"/>
      <c r="C500" s="813" t="s">
        <v>3524</v>
      </c>
      <c r="D500" s="814"/>
      <c r="E500" s="814"/>
      <c r="F500" s="812"/>
      <c r="G500" s="812"/>
      <c r="H500" s="812"/>
      <c r="I500" s="812"/>
      <c r="J500" s="812"/>
      <c r="K500" s="812"/>
      <c r="L500" s="815" t="s">
        <v>16</v>
      </c>
      <c r="M500" s="815" t="s">
        <v>3525</v>
      </c>
      <c r="N500" s="816">
        <v>2000000</v>
      </c>
      <c r="O500" s="812"/>
      <c r="P500" s="812"/>
      <c r="Q500" s="812"/>
    </row>
    <row r="501" spans="1:19" x14ac:dyDescent="0.25">
      <c r="A501" s="812">
        <v>14</v>
      </c>
      <c r="B501" s="812"/>
      <c r="C501" s="813" t="s">
        <v>3526</v>
      </c>
      <c r="D501" s="814"/>
      <c r="E501" s="814"/>
      <c r="F501" s="812"/>
      <c r="G501" s="812"/>
      <c r="H501" s="812"/>
      <c r="I501" s="812"/>
      <c r="J501" s="812"/>
      <c r="K501" s="812"/>
      <c r="L501" s="815" t="s">
        <v>16</v>
      </c>
      <c r="M501" s="815" t="s">
        <v>3527</v>
      </c>
      <c r="N501" s="816">
        <v>1200000</v>
      </c>
      <c r="O501" s="812"/>
      <c r="P501" s="812"/>
      <c r="Q501" s="812"/>
    </row>
    <row r="502" spans="1:19" x14ac:dyDescent="0.25">
      <c r="A502" s="812">
        <v>15</v>
      </c>
      <c r="B502" s="812"/>
      <c r="C502" s="813" t="s">
        <v>3528</v>
      </c>
      <c r="D502" s="814"/>
      <c r="E502" s="814"/>
      <c r="F502" s="812"/>
      <c r="G502" s="812"/>
      <c r="H502" s="812"/>
      <c r="I502" s="812"/>
      <c r="J502" s="812"/>
      <c r="K502" s="812"/>
      <c r="L502" s="815" t="s">
        <v>16</v>
      </c>
      <c r="M502" s="815" t="s">
        <v>3529</v>
      </c>
      <c r="N502" s="816">
        <v>21000000</v>
      </c>
      <c r="O502" s="812"/>
      <c r="P502" s="812"/>
      <c r="Q502" s="812"/>
    </row>
    <row r="503" spans="1:19" x14ac:dyDescent="0.25">
      <c r="A503" s="812">
        <v>16</v>
      </c>
      <c r="B503" s="812"/>
      <c r="C503" s="813" t="s">
        <v>3530</v>
      </c>
      <c r="D503" s="814"/>
      <c r="E503" s="814"/>
      <c r="F503" s="812"/>
      <c r="G503" s="812"/>
      <c r="H503" s="812"/>
      <c r="I503" s="812"/>
      <c r="J503" s="812"/>
      <c r="K503" s="812"/>
      <c r="L503" s="815" t="s">
        <v>16</v>
      </c>
      <c r="M503" s="815" t="s">
        <v>3531</v>
      </c>
      <c r="N503" s="816">
        <v>1600000</v>
      </c>
      <c r="O503" s="812"/>
      <c r="P503" s="812"/>
      <c r="Q503" s="812"/>
    </row>
    <row r="504" spans="1:19" x14ac:dyDescent="0.25">
      <c r="A504" s="812">
        <v>17</v>
      </c>
      <c r="B504" s="812"/>
      <c r="C504" s="813" t="s">
        <v>1071</v>
      </c>
      <c r="D504" s="814"/>
      <c r="E504" s="814"/>
      <c r="F504" s="812"/>
      <c r="G504" s="812"/>
      <c r="H504" s="812"/>
      <c r="I504" s="812"/>
      <c r="J504" s="812"/>
      <c r="K504" s="812"/>
      <c r="L504" s="815" t="s">
        <v>16</v>
      </c>
      <c r="M504" s="815" t="s">
        <v>3532</v>
      </c>
      <c r="N504" s="816">
        <v>14400000</v>
      </c>
      <c r="O504" s="812"/>
      <c r="P504" s="812"/>
      <c r="Q504" s="812"/>
    </row>
    <row r="505" spans="1:19" x14ac:dyDescent="0.25">
      <c r="A505" s="812">
        <v>18</v>
      </c>
      <c r="B505" s="812"/>
      <c r="C505" s="813" t="s">
        <v>3533</v>
      </c>
      <c r="D505" s="814"/>
      <c r="E505" s="814"/>
      <c r="F505" s="812"/>
      <c r="G505" s="812"/>
      <c r="H505" s="812"/>
      <c r="I505" s="812"/>
      <c r="J505" s="812"/>
      <c r="K505" s="812"/>
      <c r="L505" s="815" t="s">
        <v>16</v>
      </c>
      <c r="M505" s="815" t="s">
        <v>3532</v>
      </c>
      <c r="N505" s="816">
        <v>6750000</v>
      </c>
      <c r="O505" s="812"/>
      <c r="P505" s="812"/>
      <c r="Q505" s="812"/>
    </row>
    <row r="506" spans="1:19" x14ac:dyDescent="0.25">
      <c r="A506" s="812">
        <v>19</v>
      </c>
      <c r="B506" s="812"/>
      <c r="C506" s="813" t="s">
        <v>3534</v>
      </c>
      <c r="D506" s="814"/>
      <c r="E506" s="814"/>
      <c r="F506" s="812"/>
      <c r="G506" s="812"/>
      <c r="H506" s="812"/>
      <c r="I506" s="812"/>
      <c r="J506" s="812"/>
      <c r="K506" s="812"/>
      <c r="L506" s="815" t="s">
        <v>16</v>
      </c>
      <c r="M506" s="815" t="s">
        <v>3535</v>
      </c>
      <c r="N506" s="816">
        <v>25961000</v>
      </c>
      <c r="O506" s="812"/>
      <c r="P506" s="812"/>
      <c r="Q506" s="812"/>
    </row>
    <row r="507" spans="1:19" x14ac:dyDescent="0.25">
      <c r="A507" s="812"/>
      <c r="B507" s="812"/>
      <c r="C507" s="814"/>
      <c r="D507" s="814"/>
      <c r="E507" s="814"/>
      <c r="F507" s="812"/>
      <c r="G507" s="812"/>
      <c r="H507" s="812"/>
      <c r="I507" s="812"/>
      <c r="J507" s="812"/>
      <c r="K507" s="812"/>
      <c r="L507" s="812"/>
      <c r="M507" s="814"/>
      <c r="N507" s="816"/>
      <c r="O507" s="812"/>
      <c r="P507" s="812"/>
      <c r="Q507" s="812"/>
    </row>
    <row r="508" spans="1:19" x14ac:dyDescent="0.25">
      <c r="A508" s="655"/>
      <c r="B508" s="655"/>
      <c r="C508" s="656"/>
      <c r="D508" s="811"/>
      <c r="E508" s="656"/>
      <c r="F508" s="656"/>
      <c r="G508" s="659"/>
      <c r="H508" s="659"/>
      <c r="I508" s="659"/>
      <c r="J508" s="659"/>
      <c r="K508" s="659"/>
      <c r="L508" s="656"/>
      <c r="M508" s="659"/>
      <c r="N508" s="657">
        <f>SUM(N488:N506)</f>
        <v>496481000</v>
      </c>
      <c r="O508" s="662"/>
      <c r="P508" s="656"/>
      <c r="Q508" s="657"/>
      <c r="R508" s="810">
        <f>N508</f>
        <v>496481000</v>
      </c>
      <c r="S508" s="675">
        <f>O508</f>
        <v>0</v>
      </c>
    </row>
    <row r="510" spans="1:19" x14ac:dyDescent="0.25">
      <c r="R510" s="675">
        <f>SUM(R483,R508)</f>
        <v>1046574000</v>
      </c>
    </row>
    <row r="513" spans="16:18" x14ac:dyDescent="0.25">
      <c r="P513" s="675"/>
      <c r="R513" s="675">
        <f>R510-1046574000</f>
        <v>0</v>
      </c>
    </row>
  </sheetData>
  <mergeCells count="63">
    <mergeCell ref="A3:Q3"/>
    <mergeCell ref="A4:Q4"/>
    <mergeCell ref="F5:K5"/>
    <mergeCell ref="N5:P5"/>
    <mergeCell ref="F20:K20"/>
    <mergeCell ref="N20:P20"/>
    <mergeCell ref="A37:M37"/>
    <mergeCell ref="F40:K40"/>
    <mergeCell ref="N40:P40"/>
    <mergeCell ref="A83:M83"/>
    <mergeCell ref="F86:K86"/>
    <mergeCell ref="N86:P86"/>
    <mergeCell ref="A133:M133"/>
    <mergeCell ref="F136:K136"/>
    <mergeCell ref="N136:P136"/>
    <mergeCell ref="A178:M178"/>
    <mergeCell ref="F181:K181"/>
    <mergeCell ref="N181:P181"/>
    <mergeCell ref="A229:M229"/>
    <mergeCell ref="F232:K232"/>
    <mergeCell ref="N232:P232"/>
    <mergeCell ref="A331:M331"/>
    <mergeCell ref="F336:K336"/>
    <mergeCell ref="N336:P336"/>
    <mergeCell ref="A344:M344"/>
    <mergeCell ref="F347:K347"/>
    <mergeCell ref="N347:P347"/>
    <mergeCell ref="A355:M355"/>
    <mergeCell ref="F358:K358"/>
    <mergeCell ref="N358:P358"/>
    <mergeCell ref="A366:M366"/>
    <mergeCell ref="F369:K369"/>
    <mergeCell ref="N369:P369"/>
    <mergeCell ref="A386:M386"/>
    <mergeCell ref="F389:K389"/>
    <mergeCell ref="N389:P389"/>
    <mergeCell ref="A394:M394"/>
    <mergeCell ref="F397:K397"/>
    <mergeCell ref="N397:P397"/>
    <mergeCell ref="A407:M407"/>
    <mergeCell ref="F411:K411"/>
    <mergeCell ref="N411:P411"/>
    <mergeCell ref="A416:M416"/>
    <mergeCell ref="F420:K420"/>
    <mergeCell ref="N420:P420"/>
    <mergeCell ref="A426:M426"/>
    <mergeCell ref="F429:K429"/>
    <mergeCell ref="N429:P429"/>
    <mergeCell ref="A434:M434"/>
    <mergeCell ref="F437:K437"/>
    <mergeCell ref="N437:P437"/>
    <mergeCell ref="A447:M447"/>
    <mergeCell ref="F450:K450"/>
    <mergeCell ref="N450:P450"/>
    <mergeCell ref="F485:K485"/>
    <mergeCell ref="N485:P485"/>
    <mergeCell ref="A457:M457"/>
    <mergeCell ref="F460:K460"/>
    <mergeCell ref="N460:P460"/>
    <mergeCell ref="F467:K467"/>
    <mergeCell ref="N467:P467"/>
    <mergeCell ref="F474:K474"/>
    <mergeCell ref="N474:P474"/>
  </mergeCells>
  <pageMargins left="0.7" right="0.7" top="0.75" bottom="0.75" header="0.3" footer="0.3"/>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18"/>
  <sheetViews>
    <sheetView topLeftCell="A82" zoomScale="80" zoomScaleNormal="80" zoomScaleSheetLayoutView="80" zoomScalePageLayoutView="70" workbookViewId="0">
      <selection activeCell="A84" sqref="A84:XFD90"/>
    </sheetView>
  </sheetViews>
  <sheetFormatPr defaultRowHeight="15.75" x14ac:dyDescent="0.25"/>
  <cols>
    <col min="1" max="1" width="4.75" style="507" customWidth="1"/>
    <col min="2" max="2" width="7.625" style="590" customWidth="1"/>
    <col min="3" max="3" width="24.25" style="590" customWidth="1"/>
    <col min="4" max="5" width="24.25" style="591" customWidth="1"/>
    <col min="6" max="6" width="20.375" style="591" customWidth="1"/>
    <col min="7" max="11" width="3.75" style="507" customWidth="1"/>
    <col min="12" max="12" width="14" style="591" customWidth="1"/>
    <col min="13" max="13" width="13.375" style="591" customWidth="1"/>
    <col min="14" max="14" width="11.125" style="592" customWidth="1"/>
    <col min="15" max="15" width="13" style="592" customWidth="1"/>
    <col min="16" max="16" width="12.375" style="592" customWidth="1"/>
    <col min="17" max="17" width="10.875" style="593" customWidth="1"/>
    <col min="18" max="16384" width="9" style="506"/>
  </cols>
  <sheetData>
    <row r="1" spans="1:17" ht="24" customHeight="1" x14ac:dyDescent="0.35">
      <c r="A1" s="872" t="s">
        <v>2475</v>
      </c>
      <c r="B1" s="872"/>
      <c r="C1" s="872"/>
      <c r="D1" s="872"/>
      <c r="E1" s="872"/>
      <c r="F1" s="872"/>
      <c r="G1" s="872"/>
      <c r="H1" s="872"/>
      <c r="I1" s="872"/>
      <c r="J1" s="872"/>
      <c r="K1" s="872"/>
      <c r="L1" s="872"/>
      <c r="M1" s="872"/>
      <c r="N1" s="872"/>
      <c r="O1" s="872"/>
      <c r="P1" s="872"/>
      <c r="Q1" s="872"/>
    </row>
    <row r="2" spans="1:17" ht="18.75" customHeight="1" x14ac:dyDescent="0.35">
      <c r="A2" s="872" t="s">
        <v>2476</v>
      </c>
      <c r="B2" s="872"/>
      <c r="C2" s="872"/>
      <c r="D2" s="872"/>
      <c r="E2" s="872"/>
      <c r="F2" s="872"/>
      <c r="G2" s="872"/>
      <c r="H2" s="872"/>
      <c r="I2" s="872"/>
      <c r="J2" s="872"/>
      <c r="K2" s="872"/>
      <c r="L2" s="872"/>
      <c r="M2" s="872"/>
      <c r="N2" s="872"/>
      <c r="O2" s="872"/>
      <c r="P2" s="872"/>
      <c r="Q2" s="872"/>
    </row>
    <row r="3" spans="1:17" ht="14.25" customHeight="1" x14ac:dyDescent="0.25">
      <c r="A3" s="509"/>
      <c r="B3" s="510"/>
      <c r="C3" s="510"/>
      <c r="D3" s="511"/>
      <c r="E3" s="511"/>
      <c r="F3" s="511"/>
      <c r="G3" s="509"/>
      <c r="H3" s="509"/>
      <c r="I3" s="509"/>
      <c r="J3" s="509"/>
      <c r="K3" s="509"/>
      <c r="L3" s="511"/>
      <c r="M3" s="511"/>
      <c r="N3" s="512"/>
      <c r="O3" s="512"/>
      <c r="P3" s="512"/>
      <c r="Q3" s="513" t="s">
        <v>2477</v>
      </c>
    </row>
    <row r="4" spans="1:17" x14ac:dyDescent="0.25">
      <c r="A4" s="873" t="s">
        <v>2478</v>
      </c>
      <c r="B4" s="874" t="s">
        <v>2479</v>
      </c>
      <c r="C4" s="873" t="s">
        <v>2480</v>
      </c>
      <c r="D4" s="873" t="s">
        <v>2481</v>
      </c>
      <c r="E4" s="873" t="s">
        <v>2482</v>
      </c>
      <c r="F4" s="876" t="s">
        <v>2483</v>
      </c>
      <c r="G4" s="876"/>
      <c r="H4" s="876"/>
      <c r="I4" s="876"/>
      <c r="J4" s="876"/>
      <c r="K4" s="876"/>
      <c r="L4" s="873" t="s">
        <v>2484</v>
      </c>
      <c r="M4" s="873" t="s">
        <v>2485</v>
      </c>
      <c r="N4" s="873" t="s">
        <v>8</v>
      </c>
      <c r="O4" s="873"/>
      <c r="P4" s="873"/>
      <c r="Q4" s="874" t="s">
        <v>2486</v>
      </c>
    </row>
    <row r="5" spans="1:17" ht="63.75" customHeight="1" x14ac:dyDescent="0.25">
      <c r="A5" s="873"/>
      <c r="B5" s="875"/>
      <c r="C5" s="873"/>
      <c r="D5" s="873"/>
      <c r="E5" s="873"/>
      <c r="F5" s="514" t="s">
        <v>2487</v>
      </c>
      <c r="G5" s="514" t="s">
        <v>11</v>
      </c>
      <c r="H5" s="514" t="s">
        <v>12</v>
      </c>
      <c r="I5" s="514" t="s">
        <v>13</v>
      </c>
      <c r="J5" s="514" t="s">
        <v>14</v>
      </c>
      <c r="K5" s="514" t="s">
        <v>15</v>
      </c>
      <c r="L5" s="873"/>
      <c r="M5" s="873"/>
      <c r="N5" s="515" t="s">
        <v>2488</v>
      </c>
      <c r="O5" s="515" t="s">
        <v>2489</v>
      </c>
      <c r="P5" s="515" t="s">
        <v>2490</v>
      </c>
      <c r="Q5" s="875"/>
    </row>
    <row r="6" spans="1:17" s="518" customFormat="1" ht="14.25" customHeight="1" x14ac:dyDescent="0.2">
      <c r="A6" s="516" t="s">
        <v>20</v>
      </c>
      <c r="B6" s="516" t="s">
        <v>21</v>
      </c>
      <c r="C6" s="516" t="s">
        <v>22</v>
      </c>
      <c r="D6" s="516" t="s">
        <v>23</v>
      </c>
      <c r="E6" s="516" t="s">
        <v>24</v>
      </c>
      <c r="F6" s="516" t="s">
        <v>25</v>
      </c>
      <c r="G6" s="516" t="s">
        <v>26</v>
      </c>
      <c r="H6" s="516" t="s">
        <v>27</v>
      </c>
      <c r="I6" s="516" t="s">
        <v>28</v>
      </c>
      <c r="J6" s="516" t="s">
        <v>29</v>
      </c>
      <c r="K6" s="516" t="s">
        <v>30</v>
      </c>
      <c r="L6" s="516" t="s">
        <v>31</v>
      </c>
      <c r="M6" s="516" t="s">
        <v>32</v>
      </c>
      <c r="N6" s="516" t="s">
        <v>33</v>
      </c>
      <c r="O6" s="516" t="s">
        <v>34</v>
      </c>
      <c r="P6" s="516" t="s">
        <v>35</v>
      </c>
      <c r="Q6" s="517" t="s">
        <v>36</v>
      </c>
    </row>
    <row r="7" spans="1:17" s="518" customFormat="1" ht="18.75" customHeight="1" x14ac:dyDescent="0.2">
      <c r="A7" s="519" t="s">
        <v>2491</v>
      </c>
      <c r="B7" s="879" t="s">
        <v>2492</v>
      </c>
      <c r="C7" s="880"/>
      <c r="D7" s="881"/>
      <c r="E7" s="520"/>
      <c r="F7" s="520"/>
      <c r="G7" s="521"/>
      <c r="H7" s="521"/>
      <c r="I7" s="521"/>
      <c r="J7" s="521"/>
      <c r="K7" s="521"/>
      <c r="L7" s="520"/>
      <c r="M7" s="520"/>
      <c r="N7" s="522"/>
      <c r="O7" s="522"/>
      <c r="P7" s="522"/>
      <c r="Q7" s="523"/>
    </row>
    <row r="8" spans="1:17" s="518" customFormat="1" ht="81.95" customHeight="1" x14ac:dyDescent="0.2">
      <c r="A8" s="514">
        <v>1</v>
      </c>
      <c r="B8" s="524" t="s">
        <v>2470</v>
      </c>
      <c r="C8" s="525" t="s">
        <v>1116</v>
      </c>
      <c r="D8" s="526" t="s">
        <v>2471</v>
      </c>
      <c r="E8" s="526" t="s">
        <v>1117</v>
      </c>
      <c r="F8" s="526" t="s">
        <v>1118</v>
      </c>
      <c r="G8" s="527" t="s">
        <v>1119</v>
      </c>
      <c r="H8" s="527" t="s">
        <v>1119</v>
      </c>
      <c r="I8" s="527" t="s">
        <v>1119</v>
      </c>
      <c r="J8" s="527" t="s">
        <v>1119</v>
      </c>
      <c r="K8" s="527" t="s">
        <v>1119</v>
      </c>
      <c r="L8" s="526" t="s">
        <v>2472</v>
      </c>
      <c r="M8" s="526" t="s">
        <v>1120</v>
      </c>
      <c r="N8" s="528">
        <v>200000000</v>
      </c>
      <c r="O8" s="528"/>
      <c r="P8" s="528"/>
      <c r="Q8" s="529" t="s">
        <v>2473</v>
      </c>
    </row>
    <row r="9" spans="1:17" s="518" customFormat="1" ht="24.95" customHeight="1" x14ac:dyDescent="0.2">
      <c r="A9" s="519" t="s">
        <v>2493</v>
      </c>
      <c r="B9" s="882" t="s">
        <v>2494</v>
      </c>
      <c r="C9" s="883"/>
      <c r="D9" s="884"/>
      <c r="E9" s="530"/>
      <c r="F9" s="531"/>
      <c r="G9" s="521"/>
      <c r="H9" s="521"/>
      <c r="I9" s="521"/>
      <c r="J9" s="521"/>
      <c r="K9" s="521"/>
      <c r="L9" s="520"/>
      <c r="M9" s="520"/>
      <c r="N9" s="522"/>
      <c r="O9" s="522"/>
      <c r="P9" s="522"/>
      <c r="Q9" s="523"/>
    </row>
    <row r="10" spans="1:17" ht="42.75" customHeight="1" x14ac:dyDescent="0.25">
      <c r="A10" s="532"/>
      <c r="B10" s="885" t="s">
        <v>2495</v>
      </c>
      <c r="C10" s="886"/>
      <c r="D10" s="886"/>
      <c r="E10" s="886"/>
      <c r="F10" s="887"/>
      <c r="G10" s="514"/>
      <c r="H10" s="514"/>
      <c r="I10" s="514"/>
      <c r="J10" s="514"/>
      <c r="K10" s="514"/>
      <c r="L10" s="526"/>
      <c r="M10" s="526"/>
      <c r="N10" s="528"/>
      <c r="O10" s="528"/>
      <c r="P10" s="528"/>
      <c r="Q10" s="533"/>
    </row>
    <row r="11" spans="1:17" s="594" customFormat="1" ht="44.25" customHeight="1" x14ac:dyDescent="0.25">
      <c r="A11" s="514">
        <v>4</v>
      </c>
      <c r="B11" s="524" t="s">
        <v>1885</v>
      </c>
      <c r="C11" s="540" t="s">
        <v>1121</v>
      </c>
      <c r="D11" s="526" t="s">
        <v>1122</v>
      </c>
      <c r="E11" s="526" t="s">
        <v>1123</v>
      </c>
      <c r="F11" s="526" t="s">
        <v>1124</v>
      </c>
      <c r="G11" s="527" t="s">
        <v>1119</v>
      </c>
      <c r="H11" s="527" t="s">
        <v>1119</v>
      </c>
      <c r="I11" s="527"/>
      <c r="J11" s="527" t="s">
        <v>1119</v>
      </c>
      <c r="K11" s="527" t="s">
        <v>1119</v>
      </c>
      <c r="L11" s="526" t="s">
        <v>16</v>
      </c>
      <c r="M11" s="526" t="s">
        <v>1125</v>
      </c>
      <c r="N11" s="528">
        <f>(40*9000)+(500000*1)+(30*25000)*2</f>
        <v>2360000</v>
      </c>
      <c r="O11" s="528"/>
      <c r="P11" s="528"/>
      <c r="Q11" s="529" t="s">
        <v>2473</v>
      </c>
    </row>
    <row r="12" spans="1:17" s="594" customFormat="1" ht="24.75" customHeight="1" x14ac:dyDescent="0.25">
      <c r="A12" s="514">
        <v>5</v>
      </c>
      <c r="B12" s="537" t="s">
        <v>1751</v>
      </c>
      <c r="C12" s="540" t="s">
        <v>1121</v>
      </c>
      <c r="D12" s="526" t="s">
        <v>2500</v>
      </c>
      <c r="E12" s="526" t="s">
        <v>1127</v>
      </c>
      <c r="F12" s="526" t="s">
        <v>295</v>
      </c>
      <c r="G12" s="527" t="s">
        <v>1119</v>
      </c>
      <c r="H12" s="527" t="s">
        <v>1119</v>
      </c>
      <c r="I12" s="527" t="s">
        <v>1119</v>
      </c>
      <c r="J12" s="527" t="s">
        <v>1119</v>
      </c>
      <c r="K12" s="527" t="s">
        <v>1119</v>
      </c>
      <c r="L12" s="526" t="s">
        <v>16</v>
      </c>
      <c r="M12" s="526" t="s">
        <v>1128</v>
      </c>
      <c r="N12" s="528">
        <f>(9000*70*6)+(200000*2*6)</f>
        <v>6180000</v>
      </c>
      <c r="O12" s="528"/>
      <c r="P12" s="528"/>
      <c r="Q12" s="529" t="s">
        <v>2473</v>
      </c>
    </row>
    <row r="13" spans="1:17" s="594" customFormat="1" ht="48.75" customHeight="1" x14ac:dyDescent="0.25">
      <c r="A13" s="514">
        <v>6</v>
      </c>
      <c r="B13" s="537" t="s">
        <v>2501</v>
      </c>
      <c r="C13" s="540" t="s">
        <v>1121</v>
      </c>
      <c r="D13" s="526" t="s">
        <v>2502</v>
      </c>
      <c r="E13" s="526" t="s">
        <v>1130</v>
      </c>
      <c r="F13" s="526" t="s">
        <v>1131</v>
      </c>
      <c r="G13" s="527" t="s">
        <v>1119</v>
      </c>
      <c r="H13" s="527" t="s">
        <v>1119</v>
      </c>
      <c r="I13" s="527" t="s">
        <v>1119</v>
      </c>
      <c r="J13" s="527" t="s">
        <v>1119</v>
      </c>
      <c r="K13" s="527" t="s">
        <v>1119</v>
      </c>
      <c r="L13" s="526" t="s">
        <v>16</v>
      </c>
      <c r="M13" s="526" t="s">
        <v>1132</v>
      </c>
      <c r="N13" s="528">
        <f>(50*9000*7)+(62*9000)+(40*7*25000)+(62*25000)+(500000*8)</f>
        <v>16258000</v>
      </c>
      <c r="O13" s="528"/>
      <c r="P13" s="528"/>
      <c r="Q13" s="529" t="s">
        <v>2473</v>
      </c>
    </row>
    <row r="14" spans="1:17" s="594" customFormat="1" ht="57" customHeight="1" x14ac:dyDescent="0.25">
      <c r="A14" s="514">
        <v>7</v>
      </c>
      <c r="B14" s="541" t="s">
        <v>2503</v>
      </c>
      <c r="C14" s="542" t="s">
        <v>2504</v>
      </c>
      <c r="D14" s="526" t="s">
        <v>2505</v>
      </c>
      <c r="E14" s="526" t="s">
        <v>1136</v>
      </c>
      <c r="F14" s="526" t="s">
        <v>1137</v>
      </c>
      <c r="G14" s="527" t="s">
        <v>1119</v>
      </c>
      <c r="H14" s="527" t="s">
        <v>1119</v>
      </c>
      <c r="I14" s="527" t="s">
        <v>1119</v>
      </c>
      <c r="J14" s="527" t="s">
        <v>1119</v>
      </c>
      <c r="K14" s="527" t="s">
        <v>1119</v>
      </c>
      <c r="L14" s="526" t="s">
        <v>16</v>
      </c>
      <c r="M14" s="526" t="s">
        <v>1138</v>
      </c>
      <c r="N14" s="528">
        <f>(42*9000)+(25000*32)+(500000*2)</f>
        <v>2178000</v>
      </c>
      <c r="O14" s="528"/>
      <c r="P14" s="528"/>
      <c r="Q14" s="529" t="s">
        <v>2473</v>
      </c>
    </row>
    <row r="15" spans="1:17" s="594" customFormat="1" ht="48.75" customHeight="1" x14ac:dyDescent="0.25">
      <c r="A15" s="543">
        <v>8</v>
      </c>
      <c r="B15" s="544" t="s">
        <v>858</v>
      </c>
      <c r="C15" s="545" t="s">
        <v>1233</v>
      </c>
      <c r="D15" s="526" t="s">
        <v>2506</v>
      </c>
      <c r="E15" s="526" t="s">
        <v>1165</v>
      </c>
      <c r="F15" s="526" t="s">
        <v>1166</v>
      </c>
      <c r="G15" s="527" t="s">
        <v>1119</v>
      </c>
      <c r="H15" s="527" t="s">
        <v>1119</v>
      </c>
      <c r="I15" s="527" t="s">
        <v>1119</v>
      </c>
      <c r="J15" s="527" t="s">
        <v>1119</v>
      </c>
      <c r="K15" s="527" t="s">
        <v>1119</v>
      </c>
      <c r="L15" s="526" t="s">
        <v>1167</v>
      </c>
      <c r="M15" s="526" t="s">
        <v>1168</v>
      </c>
      <c r="N15" s="539">
        <f>(9000*150)+(500000*2)+(250000*3)+(600000*1)+(3000*100)+(10*4000)+(500000*2)</f>
        <v>5040000</v>
      </c>
      <c r="O15" s="528"/>
      <c r="P15" s="528"/>
      <c r="Q15" s="529" t="s">
        <v>2473</v>
      </c>
    </row>
    <row r="16" spans="1:17" s="594" customFormat="1" ht="51" customHeight="1" x14ac:dyDescent="0.25">
      <c r="A16" s="514">
        <v>10</v>
      </c>
      <c r="B16" s="541" t="s">
        <v>801</v>
      </c>
      <c r="C16" s="547" t="s">
        <v>1233</v>
      </c>
      <c r="D16" s="526" t="s">
        <v>1144</v>
      </c>
      <c r="E16" s="526" t="s">
        <v>1145</v>
      </c>
      <c r="F16" s="526" t="s">
        <v>1146</v>
      </c>
      <c r="G16" s="527" t="s">
        <v>1119</v>
      </c>
      <c r="H16" s="527" t="s">
        <v>1119</v>
      </c>
      <c r="I16" s="527" t="s">
        <v>1119</v>
      </c>
      <c r="J16" s="527" t="s">
        <v>1119</v>
      </c>
      <c r="K16" s="527" t="s">
        <v>1119</v>
      </c>
      <c r="L16" s="526" t="s">
        <v>1147</v>
      </c>
      <c r="M16" s="526" t="s">
        <v>1148</v>
      </c>
      <c r="N16" s="548">
        <v>7202500</v>
      </c>
      <c r="O16" s="549"/>
      <c r="P16" s="549"/>
      <c r="Q16" s="529" t="s">
        <v>2473</v>
      </c>
    </row>
    <row r="17" spans="1:17" s="594" customFormat="1" ht="51" customHeight="1" x14ac:dyDescent="0.25">
      <c r="A17" s="514">
        <v>11</v>
      </c>
      <c r="B17" s="544" t="s">
        <v>809</v>
      </c>
      <c r="C17" s="545" t="s">
        <v>1233</v>
      </c>
      <c r="D17" s="526" t="s">
        <v>2510</v>
      </c>
      <c r="E17" s="526" t="s">
        <v>1160</v>
      </c>
      <c r="F17" s="526" t="s">
        <v>1161</v>
      </c>
      <c r="G17" s="527" t="s">
        <v>1119</v>
      </c>
      <c r="H17" s="527"/>
      <c r="I17" s="527" t="s">
        <v>1119</v>
      </c>
      <c r="J17" s="527" t="s">
        <v>1119</v>
      </c>
      <c r="K17" s="527" t="s">
        <v>1119</v>
      </c>
      <c r="L17" s="526" t="s">
        <v>16</v>
      </c>
      <c r="M17" s="526" t="s">
        <v>210</v>
      </c>
      <c r="N17" s="528">
        <f>(35*9000)+(25000*25)+(500000*1)</f>
        <v>1440000</v>
      </c>
      <c r="O17" s="528"/>
      <c r="P17" s="528"/>
      <c r="Q17" s="529" t="s">
        <v>2473</v>
      </c>
    </row>
    <row r="18" spans="1:17" s="594" customFormat="1" ht="39" customHeight="1" x14ac:dyDescent="0.25">
      <c r="A18" s="514">
        <v>12</v>
      </c>
      <c r="B18" s="544" t="s">
        <v>809</v>
      </c>
      <c r="C18" s="545" t="s">
        <v>1233</v>
      </c>
      <c r="D18" s="538" t="s">
        <v>1162</v>
      </c>
      <c r="E18" s="538" t="s">
        <v>1163</v>
      </c>
      <c r="F18" s="538" t="s">
        <v>1164</v>
      </c>
      <c r="G18" s="527" t="s">
        <v>1119</v>
      </c>
      <c r="H18" s="527" t="s">
        <v>1119</v>
      </c>
      <c r="I18" s="527" t="s">
        <v>1119</v>
      </c>
      <c r="J18" s="527" t="s">
        <v>1119</v>
      </c>
      <c r="K18" s="527" t="s">
        <v>1119</v>
      </c>
      <c r="L18" s="538" t="s">
        <v>16</v>
      </c>
      <c r="M18" s="538" t="s">
        <v>106</v>
      </c>
      <c r="N18" s="528">
        <v>7500000</v>
      </c>
      <c r="O18" s="550"/>
      <c r="P18" s="550"/>
      <c r="Q18" s="529" t="s">
        <v>2473</v>
      </c>
    </row>
    <row r="19" spans="1:17" s="594" customFormat="1" ht="39" customHeight="1" x14ac:dyDescent="0.25">
      <c r="A19" s="514">
        <v>13</v>
      </c>
      <c r="B19" s="551" t="s">
        <v>795</v>
      </c>
      <c r="C19" s="535" t="s">
        <v>1233</v>
      </c>
      <c r="D19" s="526" t="s">
        <v>2511</v>
      </c>
      <c r="E19" s="535" t="s">
        <v>2512</v>
      </c>
      <c r="F19" s="535" t="s">
        <v>1172</v>
      </c>
      <c r="G19" s="527" t="s">
        <v>1119</v>
      </c>
      <c r="H19" s="527" t="s">
        <v>1119</v>
      </c>
      <c r="I19" s="527"/>
      <c r="J19" s="527" t="s">
        <v>1119</v>
      </c>
      <c r="K19" s="527" t="s">
        <v>1119</v>
      </c>
      <c r="L19" s="535" t="s">
        <v>16</v>
      </c>
      <c r="M19" s="535" t="s">
        <v>1173</v>
      </c>
      <c r="N19" s="536">
        <f>(35*9000*3)+(25*25000*3)+(500000*2*3)</f>
        <v>5820000</v>
      </c>
      <c r="O19" s="536"/>
      <c r="P19" s="552"/>
      <c r="Q19" s="514" t="s">
        <v>2473</v>
      </c>
    </row>
    <row r="20" spans="1:17" s="594" customFormat="1" ht="39" customHeight="1" x14ac:dyDescent="0.25">
      <c r="A20" s="514">
        <v>14</v>
      </c>
      <c r="B20" s="551" t="s">
        <v>795</v>
      </c>
      <c r="C20" s="535" t="s">
        <v>1233</v>
      </c>
      <c r="D20" s="526" t="s">
        <v>2513</v>
      </c>
      <c r="E20" s="535" t="s">
        <v>2514</v>
      </c>
      <c r="F20" s="535" t="s">
        <v>1172</v>
      </c>
      <c r="G20" s="527" t="s">
        <v>1119</v>
      </c>
      <c r="H20" s="527" t="s">
        <v>1119</v>
      </c>
      <c r="I20" s="527"/>
      <c r="J20" s="527" t="s">
        <v>1119</v>
      </c>
      <c r="K20" s="527" t="s">
        <v>1119</v>
      </c>
      <c r="L20" s="535" t="s">
        <v>16</v>
      </c>
      <c r="M20" s="535" t="s">
        <v>1174</v>
      </c>
      <c r="N20" s="536">
        <f>(35*9000*2)+(25*25000*2)+(500000*2*2)</f>
        <v>3880000</v>
      </c>
      <c r="O20" s="536"/>
      <c r="P20" s="552"/>
      <c r="Q20" s="514" t="s">
        <v>2473</v>
      </c>
    </row>
    <row r="21" spans="1:17" s="594" customFormat="1" ht="39" customHeight="1" x14ac:dyDescent="0.25">
      <c r="A21" s="514">
        <v>15</v>
      </c>
      <c r="B21" s="551" t="s">
        <v>795</v>
      </c>
      <c r="C21" s="535" t="s">
        <v>1233</v>
      </c>
      <c r="D21" s="526" t="s">
        <v>2515</v>
      </c>
      <c r="E21" s="535" t="s">
        <v>2516</v>
      </c>
      <c r="F21" s="535" t="s">
        <v>1172</v>
      </c>
      <c r="G21" s="527" t="s">
        <v>1119</v>
      </c>
      <c r="H21" s="553" t="s">
        <v>1119</v>
      </c>
      <c r="I21" s="553"/>
      <c r="J21" s="553" t="s">
        <v>1119</v>
      </c>
      <c r="K21" s="527" t="s">
        <v>1119</v>
      </c>
      <c r="L21" s="535" t="s">
        <v>16</v>
      </c>
      <c r="M21" s="535" t="s">
        <v>1174</v>
      </c>
      <c r="N21" s="554">
        <f>(35*9000*2)+(25*25000*2)+(500000*2*2)</f>
        <v>3880000</v>
      </c>
      <c r="O21" s="536"/>
      <c r="P21" s="552"/>
      <c r="Q21" s="514" t="s">
        <v>2473</v>
      </c>
    </row>
    <row r="22" spans="1:17" s="594" customFormat="1" ht="39" customHeight="1" x14ac:dyDescent="0.25">
      <c r="A22" s="514">
        <v>16</v>
      </c>
      <c r="B22" s="544" t="s">
        <v>795</v>
      </c>
      <c r="C22" s="555" t="s">
        <v>1233</v>
      </c>
      <c r="D22" s="526" t="s">
        <v>2517</v>
      </c>
      <c r="E22" s="526" t="s">
        <v>1176</v>
      </c>
      <c r="F22" s="526" t="s">
        <v>1177</v>
      </c>
      <c r="G22" s="527" t="s">
        <v>1119</v>
      </c>
      <c r="H22" s="553" t="s">
        <v>1119</v>
      </c>
      <c r="I22" s="553" t="s">
        <v>1119</v>
      </c>
      <c r="J22" s="553" t="s">
        <v>1119</v>
      </c>
      <c r="K22" s="527" t="s">
        <v>1119</v>
      </c>
      <c r="L22" s="526" t="s">
        <v>16</v>
      </c>
      <c r="M22" s="526" t="s">
        <v>1178</v>
      </c>
      <c r="N22" s="528">
        <v>10830000</v>
      </c>
      <c r="O22" s="528"/>
      <c r="P22" s="528"/>
      <c r="Q22" s="529" t="s">
        <v>2473</v>
      </c>
    </row>
    <row r="23" spans="1:17" s="594" customFormat="1" ht="54" customHeight="1" x14ac:dyDescent="0.25">
      <c r="A23" s="514">
        <v>17</v>
      </c>
      <c r="B23" s="541" t="s">
        <v>874</v>
      </c>
      <c r="C23" s="542" t="s">
        <v>1233</v>
      </c>
      <c r="D23" s="526" t="s">
        <v>2518</v>
      </c>
      <c r="E23" s="526" t="s">
        <v>1133</v>
      </c>
      <c r="F23" s="526" t="s">
        <v>1134</v>
      </c>
      <c r="G23" s="527" t="s">
        <v>1119</v>
      </c>
      <c r="H23" s="527" t="s">
        <v>1119</v>
      </c>
      <c r="I23" s="527"/>
      <c r="J23" s="527" t="s">
        <v>1119</v>
      </c>
      <c r="K23" s="527" t="s">
        <v>1119</v>
      </c>
      <c r="L23" s="526" t="s">
        <v>16</v>
      </c>
      <c r="M23" s="526" t="s">
        <v>1135</v>
      </c>
      <c r="N23" s="528">
        <f>((50*9000)+(500000*3))*2</f>
        <v>3900000</v>
      </c>
      <c r="O23" s="528"/>
      <c r="P23" s="528"/>
      <c r="Q23" s="529" t="s">
        <v>2473</v>
      </c>
    </row>
    <row r="24" spans="1:17" s="594" customFormat="1" ht="51.75" customHeight="1" x14ac:dyDescent="0.25">
      <c r="A24" s="514">
        <v>18</v>
      </c>
      <c r="B24" s="541" t="s">
        <v>531</v>
      </c>
      <c r="C24" s="540" t="s">
        <v>1129</v>
      </c>
      <c r="D24" s="538" t="s">
        <v>2519</v>
      </c>
      <c r="E24" s="526" t="s">
        <v>2520</v>
      </c>
      <c r="F24" s="526" t="s">
        <v>1152</v>
      </c>
      <c r="G24" s="527" t="s">
        <v>1119</v>
      </c>
      <c r="H24" s="527"/>
      <c r="I24" s="527"/>
      <c r="J24" s="527" t="s">
        <v>1119</v>
      </c>
      <c r="K24" s="527" t="s">
        <v>1119</v>
      </c>
      <c r="L24" s="526" t="s">
        <v>16</v>
      </c>
      <c r="M24" s="526" t="s">
        <v>1153</v>
      </c>
      <c r="N24" s="528">
        <f>(62+16+15*9000)+(25000*78)+(500000*2)</f>
        <v>3085078</v>
      </c>
      <c r="O24" s="528"/>
      <c r="P24" s="528"/>
      <c r="Q24" s="529" t="s">
        <v>2473</v>
      </c>
    </row>
    <row r="25" spans="1:17" s="594" customFormat="1" ht="42" customHeight="1" x14ac:dyDescent="0.25">
      <c r="A25" s="514">
        <v>19</v>
      </c>
      <c r="B25" s="556" t="s">
        <v>816</v>
      </c>
      <c r="C25" s="545" t="s">
        <v>1154</v>
      </c>
      <c r="D25" s="535" t="s">
        <v>1155</v>
      </c>
      <c r="E25" s="557" t="s">
        <v>1156</v>
      </c>
      <c r="F25" s="557" t="s">
        <v>1157</v>
      </c>
      <c r="G25" s="527" t="s">
        <v>1119</v>
      </c>
      <c r="H25" s="527" t="s">
        <v>1119</v>
      </c>
      <c r="I25" s="527" t="s">
        <v>1119</v>
      </c>
      <c r="J25" s="527" t="s">
        <v>1119</v>
      </c>
      <c r="K25" s="527" t="s">
        <v>1119</v>
      </c>
      <c r="L25" s="535" t="s">
        <v>16</v>
      </c>
      <c r="M25" s="535" t="s">
        <v>1158</v>
      </c>
      <c r="N25" s="536">
        <v>30000000</v>
      </c>
      <c r="O25" s="536"/>
      <c r="P25" s="536"/>
      <c r="Q25" s="529" t="s">
        <v>2473</v>
      </c>
    </row>
    <row r="26" spans="1:17" s="594" customFormat="1" ht="45.75" customHeight="1" x14ac:dyDescent="0.25">
      <c r="A26" s="514">
        <v>22</v>
      </c>
      <c r="B26" s="544" t="s">
        <v>816</v>
      </c>
      <c r="C26" s="545" t="s">
        <v>1154</v>
      </c>
      <c r="D26" s="526" t="s">
        <v>1188</v>
      </c>
      <c r="E26" s="538" t="s">
        <v>1189</v>
      </c>
      <c r="F26" s="538" t="s">
        <v>820</v>
      </c>
      <c r="G26" s="527" t="s">
        <v>1119</v>
      </c>
      <c r="H26" s="527" t="s">
        <v>1119</v>
      </c>
      <c r="I26" s="527" t="s">
        <v>1119</v>
      </c>
      <c r="J26" s="527" t="s">
        <v>1119</v>
      </c>
      <c r="K26" s="527" t="s">
        <v>1119</v>
      </c>
      <c r="L26" s="526" t="s">
        <v>16</v>
      </c>
      <c r="M26" s="526" t="s">
        <v>106</v>
      </c>
      <c r="N26" s="528">
        <f>(20000*80*2)+(500000*2)</f>
        <v>4200000</v>
      </c>
      <c r="O26" s="550"/>
      <c r="P26" s="528"/>
      <c r="Q26" s="514" t="s">
        <v>2522</v>
      </c>
    </row>
    <row r="27" spans="1:17" s="594" customFormat="1" ht="39" customHeight="1" x14ac:dyDescent="0.25">
      <c r="A27" s="514">
        <v>24</v>
      </c>
      <c r="B27" s="546" t="s">
        <v>2217</v>
      </c>
      <c r="C27" s="558" t="s">
        <v>1169</v>
      </c>
      <c r="D27" s="526" t="s">
        <v>1170</v>
      </c>
      <c r="E27" s="526" t="s">
        <v>1171</v>
      </c>
      <c r="F27" s="526" t="s">
        <v>1166</v>
      </c>
      <c r="G27" s="527" t="s">
        <v>1119</v>
      </c>
      <c r="H27" s="527" t="s">
        <v>1119</v>
      </c>
      <c r="I27" s="527" t="s">
        <v>1119</v>
      </c>
      <c r="J27" s="527" t="s">
        <v>1119</v>
      </c>
      <c r="K27" s="527" t="s">
        <v>1119</v>
      </c>
      <c r="L27" s="526" t="s">
        <v>16</v>
      </c>
      <c r="M27" s="526" t="s">
        <v>106</v>
      </c>
      <c r="N27" s="528">
        <f>(30*9000)+(25000*20)+(500000*2)</f>
        <v>1770000</v>
      </c>
      <c r="O27" s="528"/>
      <c r="P27" s="528"/>
      <c r="Q27" s="529" t="s">
        <v>2473</v>
      </c>
    </row>
    <row r="28" spans="1:17" s="594" customFormat="1" ht="50.1" customHeight="1" x14ac:dyDescent="0.25">
      <c r="A28" s="514">
        <v>26</v>
      </c>
      <c r="B28" s="541" t="s">
        <v>1361</v>
      </c>
      <c r="C28" s="542" t="s">
        <v>1179</v>
      </c>
      <c r="D28" s="538" t="s">
        <v>2525</v>
      </c>
      <c r="E28" s="526" t="s">
        <v>1139</v>
      </c>
      <c r="F28" s="526" t="s">
        <v>1140</v>
      </c>
      <c r="G28" s="527" t="s">
        <v>1119</v>
      </c>
      <c r="H28" s="527" t="s">
        <v>1119</v>
      </c>
      <c r="I28" s="527"/>
      <c r="J28" s="527" t="s">
        <v>1119</v>
      </c>
      <c r="K28" s="527" t="s">
        <v>1119</v>
      </c>
      <c r="L28" s="526" t="s">
        <v>1141</v>
      </c>
      <c r="M28" s="526" t="s">
        <v>1142</v>
      </c>
      <c r="N28" s="528">
        <f>(42*9000)+(30*25000)+(500000*1)</f>
        <v>1628000</v>
      </c>
      <c r="O28" s="550"/>
      <c r="P28" s="550"/>
      <c r="Q28" s="529" t="s">
        <v>2473</v>
      </c>
    </row>
    <row r="29" spans="1:17" s="594" customFormat="1" ht="58.5" customHeight="1" x14ac:dyDescent="0.25">
      <c r="A29" s="514">
        <v>27</v>
      </c>
      <c r="B29" s="541" t="s">
        <v>1361</v>
      </c>
      <c r="C29" s="542" t="s">
        <v>1179</v>
      </c>
      <c r="D29" s="538" t="s">
        <v>1143</v>
      </c>
      <c r="E29" s="526" t="s">
        <v>2526</v>
      </c>
      <c r="F29" s="526" t="s">
        <v>1137</v>
      </c>
      <c r="G29" s="527" t="s">
        <v>1119</v>
      </c>
      <c r="H29" s="527" t="s">
        <v>1119</v>
      </c>
      <c r="I29" s="527"/>
      <c r="J29" s="527" t="s">
        <v>1119</v>
      </c>
      <c r="K29" s="527" t="s">
        <v>1119</v>
      </c>
      <c r="L29" s="526" t="s">
        <v>16</v>
      </c>
      <c r="M29" s="526" t="s">
        <v>1142</v>
      </c>
      <c r="N29" s="528">
        <f>(42*9000)+(32*25000)+(500000*2)</f>
        <v>2178000</v>
      </c>
      <c r="O29" s="528"/>
      <c r="P29" s="528"/>
      <c r="Q29" s="529" t="s">
        <v>2473</v>
      </c>
    </row>
    <row r="30" spans="1:17" s="594" customFormat="1" ht="75.75" customHeight="1" x14ac:dyDescent="0.25">
      <c r="A30" s="514">
        <v>28</v>
      </c>
      <c r="B30" s="561" t="s">
        <v>1379</v>
      </c>
      <c r="C30" s="535" t="s">
        <v>2527</v>
      </c>
      <c r="D30" s="562" t="s">
        <v>1180</v>
      </c>
      <c r="E30" s="526" t="s">
        <v>1181</v>
      </c>
      <c r="F30" s="526" t="s">
        <v>1182</v>
      </c>
      <c r="G30" s="527" t="s">
        <v>1119</v>
      </c>
      <c r="H30" s="553" t="s">
        <v>1119</v>
      </c>
      <c r="I30" s="553" t="s">
        <v>1119</v>
      </c>
      <c r="J30" s="553" t="s">
        <v>1119</v>
      </c>
      <c r="K30" s="527" t="s">
        <v>1119</v>
      </c>
      <c r="L30" s="526" t="s">
        <v>1183</v>
      </c>
      <c r="M30" s="526" t="s">
        <v>1184</v>
      </c>
      <c r="N30" s="548">
        <f>3404000+2994000+3128000+1000000</f>
        <v>10526000</v>
      </c>
      <c r="O30" s="549"/>
      <c r="P30" s="549"/>
      <c r="Q30" s="529" t="s">
        <v>2473</v>
      </c>
    </row>
    <row r="31" spans="1:17" s="594" customFormat="1" ht="35.1" customHeight="1" x14ac:dyDescent="0.25">
      <c r="A31" s="514">
        <v>29</v>
      </c>
      <c r="B31" s="541" t="s">
        <v>906</v>
      </c>
      <c r="C31" s="542" t="s">
        <v>1179</v>
      </c>
      <c r="D31" s="535" t="s">
        <v>2528</v>
      </c>
      <c r="E31" s="526" t="s">
        <v>1149</v>
      </c>
      <c r="F31" s="526" t="s">
        <v>1150</v>
      </c>
      <c r="G31" s="527" t="s">
        <v>1119</v>
      </c>
      <c r="H31" s="527" t="s">
        <v>1119</v>
      </c>
      <c r="I31" s="527" t="s">
        <v>1119</v>
      </c>
      <c r="J31" s="527" t="s">
        <v>1119</v>
      </c>
      <c r="K31" s="527" t="s">
        <v>1119</v>
      </c>
      <c r="L31" s="526" t="s">
        <v>16</v>
      </c>
      <c r="M31" s="526" t="s">
        <v>1151</v>
      </c>
      <c r="N31" s="528">
        <v>15000000</v>
      </c>
      <c r="O31" s="528"/>
      <c r="P31" s="528"/>
      <c r="Q31" s="529" t="s">
        <v>2473</v>
      </c>
    </row>
    <row r="32" spans="1:17" s="594" customFormat="1" ht="54" customHeight="1" x14ac:dyDescent="0.25">
      <c r="A32" s="514">
        <v>30</v>
      </c>
      <c r="B32" s="537" t="s">
        <v>938</v>
      </c>
      <c r="C32" s="525" t="s">
        <v>2529</v>
      </c>
      <c r="D32" s="526" t="s">
        <v>1186</v>
      </c>
      <c r="E32" s="526" t="s">
        <v>1187</v>
      </c>
      <c r="F32" s="526" t="s">
        <v>820</v>
      </c>
      <c r="G32" s="527" t="s">
        <v>1119</v>
      </c>
      <c r="H32" s="527" t="s">
        <v>1119</v>
      </c>
      <c r="I32" s="527" t="s">
        <v>1119</v>
      </c>
      <c r="J32" s="527" t="s">
        <v>1119</v>
      </c>
      <c r="K32" s="527" t="s">
        <v>1119</v>
      </c>
      <c r="L32" s="526" t="s">
        <v>2530</v>
      </c>
      <c r="M32" s="526" t="s">
        <v>2531</v>
      </c>
      <c r="N32" s="528">
        <v>55000000</v>
      </c>
      <c r="O32" s="528"/>
      <c r="P32" s="528"/>
      <c r="Q32" s="529" t="s">
        <v>2473</v>
      </c>
    </row>
    <row r="33" spans="1:17" s="594" customFormat="1" ht="39" customHeight="1" x14ac:dyDescent="0.25">
      <c r="A33" s="514">
        <v>9</v>
      </c>
      <c r="B33" s="546" t="s">
        <v>1243</v>
      </c>
      <c r="C33" s="542" t="s">
        <v>1233</v>
      </c>
      <c r="D33" s="526" t="s">
        <v>2507</v>
      </c>
      <c r="E33" s="526" t="s">
        <v>1193</v>
      </c>
      <c r="F33" s="526" t="s">
        <v>2508</v>
      </c>
      <c r="G33" s="527" t="s">
        <v>1119</v>
      </c>
      <c r="H33" s="527"/>
      <c r="I33" s="527"/>
      <c r="J33" s="527" t="s">
        <v>1119</v>
      </c>
      <c r="K33" s="527" t="s">
        <v>1119</v>
      </c>
      <c r="L33" s="526" t="s">
        <v>1194</v>
      </c>
      <c r="M33" s="526" t="s">
        <v>1195</v>
      </c>
      <c r="N33" s="528"/>
      <c r="O33" s="528">
        <v>6000000</v>
      </c>
      <c r="P33" s="528"/>
      <c r="Q33" s="514" t="s">
        <v>2509</v>
      </c>
    </row>
    <row r="34" spans="1:17" s="594" customFormat="1" ht="52.5" customHeight="1" x14ac:dyDescent="0.25">
      <c r="A34" s="514">
        <v>3</v>
      </c>
      <c r="B34" s="537" t="s">
        <v>1212</v>
      </c>
      <c r="C34" s="525" t="s">
        <v>1213</v>
      </c>
      <c r="D34" s="538" t="s">
        <v>2497</v>
      </c>
      <c r="E34" s="526" t="s">
        <v>2498</v>
      </c>
      <c r="F34" s="526" t="s">
        <v>1214</v>
      </c>
      <c r="G34" s="527" t="s">
        <v>1119</v>
      </c>
      <c r="H34" s="527"/>
      <c r="I34" s="527"/>
      <c r="J34" s="527" t="s">
        <v>1119</v>
      </c>
      <c r="K34" s="527" t="s">
        <v>1119</v>
      </c>
      <c r="L34" s="526" t="s">
        <v>16</v>
      </c>
      <c r="M34" s="526" t="s">
        <v>1215</v>
      </c>
      <c r="N34" s="539"/>
      <c r="O34" s="528">
        <v>12000000</v>
      </c>
      <c r="P34" s="528"/>
      <c r="Q34" s="514" t="s">
        <v>2499</v>
      </c>
    </row>
    <row r="35" spans="1:17" s="594" customFormat="1" ht="45" customHeight="1" x14ac:dyDescent="0.25">
      <c r="A35" s="514">
        <v>23</v>
      </c>
      <c r="B35" s="544" t="s">
        <v>816</v>
      </c>
      <c r="C35" s="545" t="s">
        <v>1154</v>
      </c>
      <c r="D35" s="526" t="s">
        <v>1190</v>
      </c>
      <c r="E35" s="538" t="s">
        <v>1191</v>
      </c>
      <c r="F35" s="538" t="s">
        <v>820</v>
      </c>
      <c r="G35" s="527" t="s">
        <v>1119</v>
      </c>
      <c r="H35" s="527" t="s">
        <v>1119</v>
      </c>
      <c r="I35" s="527" t="s">
        <v>1119</v>
      </c>
      <c r="J35" s="527" t="s">
        <v>1119</v>
      </c>
      <c r="K35" s="527" t="s">
        <v>1119</v>
      </c>
      <c r="L35" s="526" t="s">
        <v>1141</v>
      </c>
      <c r="M35" s="526" t="s">
        <v>806</v>
      </c>
      <c r="N35" s="528"/>
      <c r="O35" s="528">
        <v>60000000</v>
      </c>
      <c r="P35" s="528"/>
      <c r="Q35" s="514" t="s">
        <v>2522</v>
      </c>
    </row>
    <row r="36" spans="1:17" s="594" customFormat="1" ht="51.75" customHeight="1" x14ac:dyDescent="0.25">
      <c r="A36" s="514">
        <v>20</v>
      </c>
      <c r="B36" s="544" t="s">
        <v>816</v>
      </c>
      <c r="C36" s="545" t="s">
        <v>1154</v>
      </c>
      <c r="D36" s="526" t="s">
        <v>2521</v>
      </c>
      <c r="E36" s="526" t="s">
        <v>1196</v>
      </c>
      <c r="F36" s="526" t="s">
        <v>1161</v>
      </c>
      <c r="G36" s="527" t="s">
        <v>1119</v>
      </c>
      <c r="H36" s="527" t="s">
        <v>1119</v>
      </c>
      <c r="I36" s="527" t="s">
        <v>1119</v>
      </c>
      <c r="J36" s="527" t="s">
        <v>1119</v>
      </c>
      <c r="K36" s="527" t="s">
        <v>1119</v>
      </c>
      <c r="L36" s="526" t="s">
        <v>16</v>
      </c>
      <c r="M36" s="526" t="s">
        <v>210</v>
      </c>
      <c r="N36" s="528"/>
      <c r="O36" s="528"/>
      <c r="P36" s="528">
        <v>75000000</v>
      </c>
      <c r="Q36" s="514" t="s">
        <v>1197</v>
      </c>
    </row>
    <row r="37" spans="1:17" s="594" customFormat="1" ht="39.75" customHeight="1" x14ac:dyDescent="0.25">
      <c r="A37" s="514">
        <v>21</v>
      </c>
      <c r="B37" s="544" t="s">
        <v>816</v>
      </c>
      <c r="C37" s="545" t="s">
        <v>1154</v>
      </c>
      <c r="D37" s="526" t="s">
        <v>1198</v>
      </c>
      <c r="E37" s="526" t="s">
        <v>1199</v>
      </c>
      <c r="F37" s="526" t="s">
        <v>1200</v>
      </c>
      <c r="G37" s="527" t="s">
        <v>1119</v>
      </c>
      <c r="H37" s="527" t="s">
        <v>1119</v>
      </c>
      <c r="I37" s="527" t="s">
        <v>1119</v>
      </c>
      <c r="J37" s="527" t="s">
        <v>1119</v>
      </c>
      <c r="K37" s="527" t="s">
        <v>1119</v>
      </c>
      <c r="L37" s="526" t="s">
        <v>16</v>
      </c>
      <c r="M37" s="526" t="s">
        <v>806</v>
      </c>
      <c r="N37" s="528"/>
      <c r="O37" s="528"/>
      <c r="P37" s="528">
        <v>350000000</v>
      </c>
      <c r="Q37" s="514" t="s">
        <v>1197</v>
      </c>
    </row>
    <row r="38" spans="1:17" s="594" customFormat="1" ht="62.25" customHeight="1" x14ac:dyDescent="0.25">
      <c r="A38" s="514">
        <v>2</v>
      </c>
      <c r="B38" s="534" t="s">
        <v>1498</v>
      </c>
      <c r="C38" s="526" t="s">
        <v>1499</v>
      </c>
      <c r="D38" s="535" t="s">
        <v>1207</v>
      </c>
      <c r="E38" s="535" t="s">
        <v>1208</v>
      </c>
      <c r="F38" s="535" t="s">
        <v>1209</v>
      </c>
      <c r="G38" s="527" t="s">
        <v>1119</v>
      </c>
      <c r="H38" s="527"/>
      <c r="I38" s="527"/>
      <c r="J38" s="527" t="s">
        <v>1119</v>
      </c>
      <c r="K38" s="527" t="s">
        <v>1119</v>
      </c>
      <c r="L38" s="535" t="s">
        <v>1210</v>
      </c>
      <c r="M38" s="535" t="s">
        <v>1211</v>
      </c>
      <c r="N38" s="536"/>
      <c r="O38" s="536">
        <f>17000000*4</f>
        <v>68000000</v>
      </c>
      <c r="P38" s="536"/>
      <c r="Q38" s="514" t="s">
        <v>2496</v>
      </c>
    </row>
    <row r="39" spans="1:17" s="594" customFormat="1" ht="51.75" customHeight="1" x14ac:dyDescent="0.25">
      <c r="A39" s="514">
        <v>25</v>
      </c>
      <c r="B39" s="559" t="s">
        <v>923</v>
      </c>
      <c r="C39" s="540" t="s">
        <v>2523</v>
      </c>
      <c r="D39" s="560" t="s">
        <v>1201</v>
      </c>
      <c r="E39" s="535" t="s">
        <v>1202</v>
      </c>
      <c r="F39" s="535" t="s">
        <v>1203</v>
      </c>
      <c r="G39" s="527" t="s">
        <v>1119</v>
      </c>
      <c r="H39" s="553" t="s">
        <v>1119</v>
      </c>
      <c r="I39" s="553" t="s">
        <v>1119</v>
      </c>
      <c r="J39" s="553" t="s">
        <v>1119</v>
      </c>
      <c r="K39" s="527" t="s">
        <v>1119</v>
      </c>
      <c r="L39" s="535" t="s">
        <v>1204</v>
      </c>
      <c r="M39" s="535" t="s">
        <v>1205</v>
      </c>
      <c r="N39" s="536"/>
      <c r="O39" s="536">
        <v>38000000</v>
      </c>
      <c r="P39" s="552"/>
      <c r="Q39" s="514" t="s">
        <v>2524</v>
      </c>
    </row>
    <row r="40" spans="1:17" ht="24.95" customHeight="1" x14ac:dyDescent="0.25">
      <c r="A40" s="519" t="s">
        <v>2532</v>
      </c>
      <c r="B40" s="888" t="s">
        <v>2533</v>
      </c>
      <c r="C40" s="889"/>
      <c r="D40" s="890"/>
      <c r="E40" s="563"/>
      <c r="F40" s="563"/>
      <c r="G40" s="564"/>
      <c r="H40" s="564"/>
      <c r="I40" s="564"/>
      <c r="J40" s="564"/>
      <c r="K40" s="564"/>
      <c r="L40" s="563"/>
      <c r="M40" s="563"/>
      <c r="N40" s="565"/>
      <c r="O40" s="566"/>
      <c r="P40" s="566"/>
      <c r="Q40" s="567"/>
    </row>
    <row r="41" spans="1:17" ht="30" customHeight="1" x14ac:dyDescent="0.25">
      <c r="A41" s="568"/>
      <c r="B41" s="891" t="s">
        <v>2534</v>
      </c>
      <c r="C41" s="892"/>
      <c r="D41" s="892"/>
      <c r="E41" s="892"/>
      <c r="F41" s="893"/>
      <c r="G41" s="569"/>
      <c r="H41" s="569"/>
      <c r="I41" s="569"/>
      <c r="J41" s="569"/>
      <c r="K41" s="569"/>
      <c r="L41" s="570"/>
      <c r="M41" s="570"/>
      <c r="N41" s="571"/>
      <c r="O41" s="572"/>
      <c r="P41" s="572"/>
      <c r="Q41" s="573"/>
    </row>
    <row r="42" spans="1:17" ht="35.1" customHeight="1" x14ac:dyDescent="0.25">
      <c r="A42" s="529">
        <v>38</v>
      </c>
      <c r="B42" s="574" t="s">
        <v>1870</v>
      </c>
      <c r="C42" s="526" t="s">
        <v>1121</v>
      </c>
      <c r="D42" s="526" t="s">
        <v>1217</v>
      </c>
      <c r="E42" s="526" t="s">
        <v>1218</v>
      </c>
      <c r="F42" s="526" t="s">
        <v>1219</v>
      </c>
      <c r="G42" s="527" t="s">
        <v>1119</v>
      </c>
      <c r="H42" s="527" t="s">
        <v>1119</v>
      </c>
      <c r="I42" s="527" t="s">
        <v>1119</v>
      </c>
      <c r="J42" s="527" t="s">
        <v>1119</v>
      </c>
      <c r="K42" s="527" t="s">
        <v>1119</v>
      </c>
      <c r="L42" s="526" t="s">
        <v>1220</v>
      </c>
      <c r="M42" s="526" t="s">
        <v>1221</v>
      </c>
      <c r="N42" s="548">
        <f>14000*9*30*3</f>
        <v>11340000</v>
      </c>
      <c r="O42" s="549"/>
      <c r="P42" s="549"/>
      <c r="Q42" s="529" t="s">
        <v>2473</v>
      </c>
    </row>
    <row r="43" spans="1:17" ht="50.1" customHeight="1" x14ac:dyDescent="0.25">
      <c r="A43" s="529">
        <v>39</v>
      </c>
      <c r="B43" s="574" t="s">
        <v>1870</v>
      </c>
      <c r="C43" s="580" t="s">
        <v>2540</v>
      </c>
      <c r="D43" s="526" t="s">
        <v>1222</v>
      </c>
      <c r="E43" s="526" t="s">
        <v>1223</v>
      </c>
      <c r="F43" s="526" t="s">
        <v>1224</v>
      </c>
      <c r="G43" s="527" t="s">
        <v>1119</v>
      </c>
      <c r="H43" s="527" t="s">
        <v>1119</v>
      </c>
      <c r="I43" s="527" t="s">
        <v>1119</v>
      </c>
      <c r="J43" s="527" t="s">
        <v>1119</v>
      </c>
      <c r="K43" s="527" t="s">
        <v>1119</v>
      </c>
      <c r="L43" s="526" t="s">
        <v>1225</v>
      </c>
      <c r="M43" s="526" t="s">
        <v>1226</v>
      </c>
      <c r="N43" s="548">
        <f>10*7*3*9000</f>
        <v>1890000</v>
      </c>
      <c r="O43" s="549"/>
      <c r="P43" s="549"/>
      <c r="Q43" s="529" t="s">
        <v>2473</v>
      </c>
    </row>
    <row r="44" spans="1:17" ht="66.75" customHeight="1" x14ac:dyDescent="0.25">
      <c r="A44" s="529">
        <v>46</v>
      </c>
      <c r="B44" s="574" t="s">
        <v>2545</v>
      </c>
      <c r="C44" s="575" t="s">
        <v>1233</v>
      </c>
      <c r="D44" s="526" t="s">
        <v>1239</v>
      </c>
      <c r="E44" s="526" t="s">
        <v>1240</v>
      </c>
      <c r="F44" s="526" t="s">
        <v>1241</v>
      </c>
      <c r="G44" s="527" t="s">
        <v>1119</v>
      </c>
      <c r="H44" s="527" t="s">
        <v>1119</v>
      </c>
      <c r="I44" s="527" t="s">
        <v>1119</v>
      </c>
      <c r="J44" s="527" t="s">
        <v>1119</v>
      </c>
      <c r="K44" s="527" t="s">
        <v>1119</v>
      </c>
      <c r="L44" s="526" t="s">
        <v>16</v>
      </c>
      <c r="M44" s="526" t="s">
        <v>1242</v>
      </c>
      <c r="N44" s="548">
        <f>(25*9000)+(25000*25)+(500000*2)</f>
        <v>1850000</v>
      </c>
      <c r="O44" s="549"/>
      <c r="P44" s="549"/>
      <c r="Q44" s="529" t="s">
        <v>2473</v>
      </c>
    </row>
    <row r="45" spans="1:17" ht="55.5" customHeight="1" x14ac:dyDescent="0.25">
      <c r="A45" s="529">
        <v>50</v>
      </c>
      <c r="B45" s="541" t="s">
        <v>874</v>
      </c>
      <c r="C45" s="542" t="s">
        <v>2549</v>
      </c>
      <c r="D45" s="538" t="s">
        <v>1228</v>
      </c>
      <c r="E45" s="526" t="s">
        <v>1229</v>
      </c>
      <c r="F45" s="538" t="s">
        <v>1230</v>
      </c>
      <c r="G45" s="527" t="s">
        <v>1119</v>
      </c>
      <c r="H45" s="527" t="s">
        <v>1119</v>
      </c>
      <c r="I45" s="527" t="s">
        <v>1119</v>
      </c>
      <c r="J45" s="527" t="s">
        <v>1119</v>
      </c>
      <c r="K45" s="527" t="s">
        <v>1119</v>
      </c>
      <c r="L45" s="526" t="s">
        <v>1231</v>
      </c>
      <c r="M45" s="526" t="s">
        <v>1232</v>
      </c>
      <c r="N45" s="528">
        <f>(60*9000*2)+(25000*50*2)+(500000*2*2)</f>
        <v>5580000</v>
      </c>
      <c r="O45" s="528"/>
      <c r="P45" s="528"/>
      <c r="Q45" s="529" t="s">
        <v>2473</v>
      </c>
    </row>
    <row r="46" spans="1:17" ht="50.1" customHeight="1" x14ac:dyDescent="0.25">
      <c r="A46" s="529">
        <v>51</v>
      </c>
      <c r="B46" s="541" t="s">
        <v>874</v>
      </c>
      <c r="C46" s="542" t="s">
        <v>2549</v>
      </c>
      <c r="D46" s="526" t="s">
        <v>1234</v>
      </c>
      <c r="E46" s="526" t="s">
        <v>1235</v>
      </c>
      <c r="F46" s="526" t="s">
        <v>1236</v>
      </c>
      <c r="G46" s="527" t="s">
        <v>1119</v>
      </c>
      <c r="H46" s="527" t="s">
        <v>1119</v>
      </c>
      <c r="I46" s="527" t="s">
        <v>1119</v>
      </c>
      <c r="J46" s="527" t="s">
        <v>1119</v>
      </c>
      <c r="K46" s="527" t="s">
        <v>1119</v>
      </c>
      <c r="L46" s="526" t="s">
        <v>16</v>
      </c>
      <c r="M46" s="526" t="s">
        <v>1237</v>
      </c>
      <c r="N46" s="548">
        <v>6450000</v>
      </c>
      <c r="O46" s="549"/>
      <c r="P46" s="549"/>
      <c r="Q46" s="529" t="s">
        <v>2473</v>
      </c>
    </row>
    <row r="47" spans="1:17" ht="60.75" customHeight="1" x14ac:dyDescent="0.25">
      <c r="A47" s="529">
        <v>52</v>
      </c>
      <c r="B47" s="541" t="s">
        <v>874</v>
      </c>
      <c r="C47" s="542" t="s">
        <v>2549</v>
      </c>
      <c r="D47" s="526" t="s">
        <v>1244</v>
      </c>
      <c r="E47" s="526" t="s">
        <v>1245</v>
      </c>
      <c r="F47" s="526" t="s">
        <v>1246</v>
      </c>
      <c r="G47" s="527" t="s">
        <v>1119</v>
      </c>
      <c r="H47" s="527" t="s">
        <v>1119</v>
      </c>
      <c r="I47" s="527" t="s">
        <v>1119</v>
      </c>
      <c r="J47" s="527" t="s">
        <v>1119</v>
      </c>
      <c r="K47" s="527" t="s">
        <v>1119</v>
      </c>
      <c r="L47" s="526" t="s">
        <v>16</v>
      </c>
      <c r="M47" s="526" t="s">
        <v>1247</v>
      </c>
      <c r="N47" s="548">
        <v>3057500</v>
      </c>
      <c r="O47" s="549"/>
      <c r="P47" s="549"/>
      <c r="Q47" s="529" t="s">
        <v>2473</v>
      </c>
    </row>
    <row r="48" spans="1:17" ht="48" customHeight="1" x14ac:dyDescent="0.25">
      <c r="A48" s="529">
        <v>62</v>
      </c>
      <c r="B48" s="551" t="s">
        <v>1685</v>
      </c>
      <c r="C48" s="540" t="s">
        <v>1311</v>
      </c>
      <c r="D48" s="538" t="s">
        <v>2559</v>
      </c>
      <c r="E48" s="526" t="s">
        <v>2560</v>
      </c>
      <c r="F48" s="526" t="s">
        <v>1261</v>
      </c>
      <c r="G48" s="527" t="s">
        <v>1119</v>
      </c>
      <c r="H48" s="527" t="s">
        <v>1119</v>
      </c>
      <c r="I48" s="527" t="s">
        <v>1119</v>
      </c>
      <c r="J48" s="527" t="s">
        <v>1119</v>
      </c>
      <c r="K48" s="527" t="s">
        <v>1119</v>
      </c>
      <c r="L48" s="526" t="s">
        <v>1262</v>
      </c>
      <c r="M48" s="526" t="s">
        <v>1263</v>
      </c>
      <c r="N48" s="528">
        <f>(57200*200)</f>
        <v>11440000</v>
      </c>
      <c r="O48" s="528"/>
      <c r="P48" s="528"/>
      <c r="Q48" s="529" t="s">
        <v>2473</v>
      </c>
    </row>
    <row r="49" spans="1:17" ht="68.25" customHeight="1" x14ac:dyDescent="0.25">
      <c r="A49" s="529">
        <v>65</v>
      </c>
      <c r="B49" s="574" t="s">
        <v>1333</v>
      </c>
      <c r="C49" s="526" t="s">
        <v>1249</v>
      </c>
      <c r="D49" s="526" t="s">
        <v>1250</v>
      </c>
      <c r="E49" s="526" t="s">
        <v>1251</v>
      </c>
      <c r="F49" s="526" t="s">
        <v>1252</v>
      </c>
      <c r="G49" s="527" t="s">
        <v>1119</v>
      </c>
      <c r="H49" s="527" t="s">
        <v>1119</v>
      </c>
      <c r="I49" s="527" t="s">
        <v>1119</v>
      </c>
      <c r="J49" s="527" t="s">
        <v>1119</v>
      </c>
      <c r="K49" s="527" t="s">
        <v>1119</v>
      </c>
      <c r="L49" s="526" t="s">
        <v>1253</v>
      </c>
      <c r="M49" s="526" t="s">
        <v>1254</v>
      </c>
      <c r="N49" s="548">
        <f>(2500000*25)*7%</f>
        <v>4375000</v>
      </c>
      <c r="O49" s="549"/>
      <c r="P49" s="549"/>
      <c r="Q49" s="529" t="s">
        <v>2473</v>
      </c>
    </row>
    <row r="50" spans="1:17" ht="50.25" customHeight="1" x14ac:dyDescent="0.25">
      <c r="A50" s="529">
        <v>66</v>
      </c>
      <c r="B50" s="574" t="s">
        <v>1069</v>
      </c>
      <c r="C50" s="526" t="s">
        <v>1249</v>
      </c>
      <c r="D50" s="526" t="s">
        <v>1256</v>
      </c>
      <c r="E50" s="526" t="s">
        <v>1257</v>
      </c>
      <c r="F50" s="526" t="s">
        <v>1258</v>
      </c>
      <c r="G50" s="527" t="s">
        <v>1119</v>
      </c>
      <c r="H50" s="527" t="s">
        <v>1119</v>
      </c>
      <c r="I50" s="527" t="s">
        <v>1119</v>
      </c>
      <c r="J50" s="527" t="s">
        <v>1119</v>
      </c>
      <c r="K50" s="527" t="s">
        <v>1119</v>
      </c>
      <c r="L50" s="526" t="s">
        <v>16</v>
      </c>
      <c r="M50" s="526" t="s">
        <v>1259</v>
      </c>
      <c r="N50" s="528">
        <v>15000000</v>
      </c>
      <c r="O50" s="528"/>
      <c r="P50" s="528"/>
      <c r="Q50" s="529" t="s">
        <v>2473</v>
      </c>
    </row>
    <row r="51" spans="1:17" ht="50.25" customHeight="1" x14ac:dyDescent="0.25">
      <c r="A51" s="529">
        <v>68</v>
      </c>
      <c r="B51" s="574" t="s">
        <v>1374</v>
      </c>
      <c r="C51" s="525" t="s">
        <v>2564</v>
      </c>
      <c r="D51" s="560" t="s">
        <v>2565</v>
      </c>
      <c r="E51" s="526" t="s">
        <v>1276</v>
      </c>
      <c r="F51" s="526" t="s">
        <v>1277</v>
      </c>
      <c r="G51" s="527" t="s">
        <v>1119</v>
      </c>
      <c r="H51" s="527" t="s">
        <v>1119</v>
      </c>
      <c r="I51" s="527" t="s">
        <v>1119</v>
      </c>
      <c r="J51" s="527" t="s">
        <v>1119</v>
      </c>
      <c r="K51" s="527" t="s">
        <v>1119</v>
      </c>
      <c r="L51" s="526" t="s">
        <v>1278</v>
      </c>
      <c r="M51" s="526" t="s">
        <v>2566</v>
      </c>
      <c r="N51" s="528">
        <v>198000000</v>
      </c>
      <c r="O51" s="528"/>
      <c r="P51" s="528"/>
      <c r="Q51" s="529" t="s">
        <v>2473</v>
      </c>
    </row>
    <row r="52" spans="1:17" ht="38.25" customHeight="1" x14ac:dyDescent="0.25">
      <c r="A52" s="529">
        <v>69</v>
      </c>
      <c r="B52" s="574" t="s">
        <v>938</v>
      </c>
      <c r="C52" s="525" t="s">
        <v>1116</v>
      </c>
      <c r="D52" s="526" t="s">
        <v>1264</v>
      </c>
      <c r="E52" s="526" t="s">
        <v>1265</v>
      </c>
      <c r="F52" s="526" t="s">
        <v>820</v>
      </c>
      <c r="G52" s="527" t="s">
        <v>1119</v>
      </c>
      <c r="H52" s="527" t="s">
        <v>1119</v>
      </c>
      <c r="I52" s="527" t="s">
        <v>1119</v>
      </c>
      <c r="J52" s="527" t="s">
        <v>1119</v>
      </c>
      <c r="K52" s="527" t="s">
        <v>1119</v>
      </c>
      <c r="L52" s="526" t="s">
        <v>1266</v>
      </c>
      <c r="M52" s="526" t="s">
        <v>1267</v>
      </c>
      <c r="N52" s="528">
        <v>10000000</v>
      </c>
      <c r="O52" s="528"/>
      <c r="P52" s="528"/>
      <c r="Q52" s="529" t="s">
        <v>2473</v>
      </c>
    </row>
    <row r="53" spans="1:17" ht="41.25" customHeight="1" x14ac:dyDescent="0.25">
      <c r="A53" s="529">
        <v>70</v>
      </c>
      <c r="B53" s="574" t="s">
        <v>938</v>
      </c>
      <c r="C53" s="525" t="s">
        <v>1116</v>
      </c>
      <c r="D53" s="557" t="s">
        <v>1269</v>
      </c>
      <c r="E53" s="526" t="s">
        <v>1270</v>
      </c>
      <c r="F53" s="526" t="s">
        <v>1271</v>
      </c>
      <c r="G53" s="527" t="s">
        <v>1119</v>
      </c>
      <c r="H53" s="527" t="s">
        <v>1119</v>
      </c>
      <c r="I53" s="527" t="s">
        <v>1119</v>
      </c>
      <c r="J53" s="527" t="s">
        <v>1119</v>
      </c>
      <c r="K53" s="527" t="s">
        <v>1119</v>
      </c>
      <c r="L53" s="526" t="s">
        <v>1272</v>
      </c>
      <c r="M53" s="526" t="s">
        <v>1273</v>
      </c>
      <c r="N53" s="528">
        <f>(1020000*9)</f>
        <v>9180000</v>
      </c>
      <c r="O53" s="528"/>
      <c r="P53" s="528"/>
      <c r="Q53" s="529" t="s">
        <v>2473</v>
      </c>
    </row>
    <row r="54" spans="1:17" ht="72.75" customHeight="1" x14ac:dyDescent="0.25">
      <c r="A54" s="529">
        <v>31</v>
      </c>
      <c r="B54" s="574" t="s">
        <v>842</v>
      </c>
      <c r="C54" s="575" t="s">
        <v>1348</v>
      </c>
      <c r="D54" s="526" t="s">
        <v>1349</v>
      </c>
      <c r="E54" s="526" t="s">
        <v>1350</v>
      </c>
      <c r="F54" s="526" t="s">
        <v>1351</v>
      </c>
      <c r="G54" s="527" t="s">
        <v>1119</v>
      </c>
      <c r="H54" s="527" t="s">
        <v>1119</v>
      </c>
      <c r="I54" s="527" t="s">
        <v>1119</v>
      </c>
      <c r="J54" s="527" t="s">
        <v>1119</v>
      </c>
      <c r="K54" s="527" t="s">
        <v>1119</v>
      </c>
      <c r="L54" s="526" t="s">
        <v>1352</v>
      </c>
      <c r="M54" s="526" t="s">
        <v>806</v>
      </c>
      <c r="N54" s="576"/>
      <c r="O54" s="577">
        <v>3530000000</v>
      </c>
      <c r="P54" s="576"/>
      <c r="Q54" s="514" t="s">
        <v>2524</v>
      </c>
    </row>
    <row r="55" spans="1:17" ht="65.099999999999994" customHeight="1" x14ac:dyDescent="0.25">
      <c r="A55" s="529">
        <v>32</v>
      </c>
      <c r="B55" s="574" t="s">
        <v>842</v>
      </c>
      <c r="C55" s="575" t="s">
        <v>1348</v>
      </c>
      <c r="D55" s="525" t="s">
        <v>1353</v>
      </c>
      <c r="E55" s="526" t="s">
        <v>1354</v>
      </c>
      <c r="F55" s="526" t="s">
        <v>1355</v>
      </c>
      <c r="G55" s="527" t="s">
        <v>1119</v>
      </c>
      <c r="H55" s="527" t="s">
        <v>1119</v>
      </c>
      <c r="I55" s="527" t="s">
        <v>1119</v>
      </c>
      <c r="J55" s="527" t="s">
        <v>1119</v>
      </c>
      <c r="K55" s="527" t="s">
        <v>1119</v>
      </c>
      <c r="L55" s="526" t="s">
        <v>1356</v>
      </c>
      <c r="M55" s="526" t="s">
        <v>806</v>
      </c>
      <c r="N55" s="576"/>
      <c r="O55" s="577">
        <v>50000000</v>
      </c>
      <c r="P55" s="576"/>
      <c r="Q55" s="514" t="s">
        <v>2524</v>
      </c>
    </row>
    <row r="56" spans="1:17" ht="36" customHeight="1" x14ac:dyDescent="0.25">
      <c r="A56" s="529">
        <v>33</v>
      </c>
      <c r="B56" s="574" t="s">
        <v>1503</v>
      </c>
      <c r="C56" s="525" t="s">
        <v>1116</v>
      </c>
      <c r="D56" s="535" t="s">
        <v>1366</v>
      </c>
      <c r="E56" s="526" t="s">
        <v>1276</v>
      </c>
      <c r="F56" s="526" t="s">
        <v>1367</v>
      </c>
      <c r="G56" s="527" t="s">
        <v>1119</v>
      </c>
      <c r="H56" s="527" t="s">
        <v>1119</v>
      </c>
      <c r="I56" s="527" t="s">
        <v>1119</v>
      </c>
      <c r="J56" s="527" t="s">
        <v>1119</v>
      </c>
      <c r="K56" s="527" t="s">
        <v>1119</v>
      </c>
      <c r="L56" s="526" t="s">
        <v>1368</v>
      </c>
      <c r="M56" s="526" t="s">
        <v>1369</v>
      </c>
      <c r="N56" s="528"/>
      <c r="O56" s="528">
        <v>40000000</v>
      </c>
      <c r="P56" s="528"/>
      <c r="Q56" s="514" t="s">
        <v>2524</v>
      </c>
    </row>
    <row r="57" spans="1:17" ht="50.1" customHeight="1" x14ac:dyDescent="0.25">
      <c r="A57" s="529">
        <v>34</v>
      </c>
      <c r="B57" s="574" t="s">
        <v>2535</v>
      </c>
      <c r="C57" s="526" t="s">
        <v>2536</v>
      </c>
      <c r="D57" s="526" t="s">
        <v>1362</v>
      </c>
      <c r="E57" s="526" t="s">
        <v>1363</v>
      </c>
      <c r="F57" s="526" t="s">
        <v>1313</v>
      </c>
      <c r="G57" s="527" t="s">
        <v>1119</v>
      </c>
      <c r="H57" s="527" t="s">
        <v>1119</v>
      </c>
      <c r="I57" s="527" t="s">
        <v>1119</v>
      </c>
      <c r="J57" s="527" t="s">
        <v>1119</v>
      </c>
      <c r="K57" s="527" t="s">
        <v>1119</v>
      </c>
      <c r="L57" s="526" t="s">
        <v>1364</v>
      </c>
      <c r="M57" s="526" t="s">
        <v>1365</v>
      </c>
      <c r="N57" s="576"/>
      <c r="O57" s="549">
        <f>35*2500000</f>
        <v>87500000</v>
      </c>
      <c r="P57" s="549"/>
      <c r="Q57" s="514" t="s">
        <v>2524</v>
      </c>
    </row>
    <row r="58" spans="1:17" ht="39" customHeight="1" x14ac:dyDescent="0.25">
      <c r="A58" s="529">
        <v>35</v>
      </c>
      <c r="B58" s="574" t="s">
        <v>1498</v>
      </c>
      <c r="C58" s="525" t="s">
        <v>1116</v>
      </c>
      <c r="D58" s="535" t="s">
        <v>1375</v>
      </c>
      <c r="E58" s="526" t="s">
        <v>1376</v>
      </c>
      <c r="F58" s="526" t="s">
        <v>1275</v>
      </c>
      <c r="G58" s="527" t="s">
        <v>1119</v>
      </c>
      <c r="H58" s="527" t="s">
        <v>1119</v>
      </c>
      <c r="I58" s="527" t="s">
        <v>1119</v>
      </c>
      <c r="J58" s="527" t="s">
        <v>1119</v>
      </c>
      <c r="K58" s="527" t="s">
        <v>1119</v>
      </c>
      <c r="L58" s="526" t="s">
        <v>1377</v>
      </c>
      <c r="M58" s="526" t="s">
        <v>1378</v>
      </c>
      <c r="N58" s="539"/>
      <c r="O58" s="528">
        <v>10000000</v>
      </c>
      <c r="P58" s="528"/>
      <c r="Q58" s="514" t="s">
        <v>2537</v>
      </c>
    </row>
    <row r="59" spans="1:17" ht="37.5" customHeight="1" x14ac:dyDescent="0.25">
      <c r="A59" s="529">
        <v>36</v>
      </c>
      <c r="B59" s="574" t="s">
        <v>1061</v>
      </c>
      <c r="C59" s="578" t="s">
        <v>1343</v>
      </c>
      <c r="D59" s="526" t="s">
        <v>1370</v>
      </c>
      <c r="E59" s="526" t="s">
        <v>1371</v>
      </c>
      <c r="F59" s="526" t="s">
        <v>1372</v>
      </c>
      <c r="G59" s="527" t="s">
        <v>1119</v>
      </c>
      <c r="H59" s="527" t="s">
        <v>1119</v>
      </c>
      <c r="I59" s="527" t="s">
        <v>1119</v>
      </c>
      <c r="J59" s="527" t="s">
        <v>1119</v>
      </c>
      <c r="K59" s="527" t="s">
        <v>1119</v>
      </c>
      <c r="L59" s="526" t="s">
        <v>1373</v>
      </c>
      <c r="M59" s="579" t="s">
        <v>569</v>
      </c>
      <c r="N59" s="528"/>
      <c r="O59" s="528">
        <v>75000000</v>
      </c>
      <c r="P59" s="528"/>
      <c r="Q59" s="514" t="s">
        <v>2538</v>
      </c>
    </row>
    <row r="60" spans="1:17" ht="52.5" customHeight="1" x14ac:dyDescent="0.25">
      <c r="A60" s="529">
        <v>37</v>
      </c>
      <c r="B60" s="574" t="s">
        <v>521</v>
      </c>
      <c r="C60" s="578" t="s">
        <v>1213</v>
      </c>
      <c r="D60" s="526" t="s">
        <v>1386</v>
      </c>
      <c r="E60" s="526" t="s">
        <v>1387</v>
      </c>
      <c r="F60" s="526" t="s">
        <v>1388</v>
      </c>
      <c r="G60" s="527" t="s">
        <v>1119</v>
      </c>
      <c r="H60" s="527" t="s">
        <v>1119</v>
      </c>
      <c r="I60" s="527" t="s">
        <v>1119</v>
      </c>
      <c r="J60" s="527" t="s">
        <v>1119</v>
      </c>
      <c r="K60" s="527" t="s">
        <v>1119</v>
      </c>
      <c r="L60" s="535" t="s">
        <v>1389</v>
      </c>
      <c r="M60" s="526" t="s">
        <v>1390</v>
      </c>
      <c r="N60" s="576"/>
      <c r="O60" s="528">
        <f>12*20000*20</f>
        <v>4800000</v>
      </c>
      <c r="P60" s="576"/>
      <c r="Q60" s="514" t="s">
        <v>2539</v>
      </c>
    </row>
    <row r="61" spans="1:17" ht="60.75" customHeight="1" x14ac:dyDescent="0.25">
      <c r="A61" s="529">
        <v>40</v>
      </c>
      <c r="B61" s="574" t="s">
        <v>2244</v>
      </c>
      <c r="C61" s="526" t="s">
        <v>1206</v>
      </c>
      <c r="D61" s="526" t="s">
        <v>1302</v>
      </c>
      <c r="E61" s="526" t="s">
        <v>1303</v>
      </c>
      <c r="F61" s="526" t="s">
        <v>1304</v>
      </c>
      <c r="G61" s="527" t="s">
        <v>1119</v>
      </c>
      <c r="H61" s="527" t="s">
        <v>1119</v>
      </c>
      <c r="I61" s="527" t="s">
        <v>1119</v>
      </c>
      <c r="J61" s="527" t="s">
        <v>1119</v>
      </c>
      <c r="K61" s="527" t="s">
        <v>1119</v>
      </c>
      <c r="L61" s="526" t="s">
        <v>16</v>
      </c>
      <c r="M61" s="579" t="s">
        <v>1305</v>
      </c>
      <c r="N61" s="528"/>
      <c r="O61" s="528">
        <f>(1350000*7)+380800</f>
        <v>9830800</v>
      </c>
      <c r="P61" s="528"/>
      <c r="Q61" s="514" t="s">
        <v>2541</v>
      </c>
    </row>
    <row r="62" spans="1:17" ht="88.5" customHeight="1" x14ac:dyDescent="0.25">
      <c r="A62" s="529">
        <v>41</v>
      </c>
      <c r="B62" s="574" t="s">
        <v>2542</v>
      </c>
      <c r="C62" s="525" t="s">
        <v>1357</v>
      </c>
      <c r="D62" s="526" t="s">
        <v>1358</v>
      </c>
      <c r="E62" s="526" t="s">
        <v>1359</v>
      </c>
      <c r="F62" s="526" t="s">
        <v>1313</v>
      </c>
      <c r="G62" s="527" t="s">
        <v>1119</v>
      </c>
      <c r="H62" s="527" t="s">
        <v>1119</v>
      </c>
      <c r="I62" s="527" t="s">
        <v>1119</v>
      </c>
      <c r="J62" s="527" t="s">
        <v>1119</v>
      </c>
      <c r="K62" s="527" t="s">
        <v>1119</v>
      </c>
      <c r="L62" s="526" t="s">
        <v>1356</v>
      </c>
      <c r="M62" s="526" t="s">
        <v>1360</v>
      </c>
      <c r="N62" s="528"/>
      <c r="O62" s="528">
        <f>395*4000000</f>
        <v>1580000000</v>
      </c>
      <c r="P62" s="528"/>
      <c r="Q62" s="514" t="s">
        <v>2524</v>
      </c>
    </row>
    <row r="63" spans="1:17" ht="32.25" customHeight="1" x14ac:dyDescent="0.25">
      <c r="A63" s="529">
        <v>42</v>
      </c>
      <c r="B63" s="551" t="s">
        <v>1632</v>
      </c>
      <c r="C63" s="540" t="s">
        <v>1192</v>
      </c>
      <c r="D63" s="538" t="s">
        <v>1279</v>
      </c>
      <c r="E63" s="538" t="s">
        <v>1280</v>
      </c>
      <c r="F63" s="538" t="s">
        <v>1281</v>
      </c>
      <c r="G63" s="527" t="s">
        <v>1119</v>
      </c>
      <c r="H63" s="527" t="s">
        <v>1119</v>
      </c>
      <c r="I63" s="527" t="s">
        <v>1119</v>
      </c>
      <c r="J63" s="527" t="s">
        <v>1119</v>
      </c>
      <c r="K63" s="527" t="s">
        <v>1119</v>
      </c>
      <c r="L63" s="526" t="s">
        <v>1282</v>
      </c>
      <c r="M63" s="526" t="s">
        <v>1283</v>
      </c>
      <c r="N63" s="528"/>
      <c r="O63" s="528">
        <v>6000000</v>
      </c>
      <c r="P63" s="528"/>
      <c r="Q63" s="514" t="s">
        <v>2543</v>
      </c>
    </row>
    <row r="64" spans="1:17" ht="35.1" customHeight="1" x14ac:dyDescent="0.25">
      <c r="A64" s="529">
        <v>43</v>
      </c>
      <c r="B64" s="551" t="s">
        <v>1632</v>
      </c>
      <c r="C64" s="540" t="s">
        <v>1192</v>
      </c>
      <c r="D64" s="538" t="s">
        <v>1284</v>
      </c>
      <c r="E64" s="538" t="s">
        <v>1285</v>
      </c>
      <c r="F64" s="538" t="s">
        <v>1281</v>
      </c>
      <c r="G64" s="527" t="s">
        <v>1119</v>
      </c>
      <c r="H64" s="527" t="s">
        <v>1119</v>
      </c>
      <c r="I64" s="527" t="s">
        <v>1119</v>
      </c>
      <c r="J64" s="527" t="s">
        <v>1119</v>
      </c>
      <c r="K64" s="527" t="s">
        <v>1119</v>
      </c>
      <c r="L64" s="526" t="s">
        <v>1282</v>
      </c>
      <c r="M64" s="526" t="s">
        <v>1286</v>
      </c>
      <c r="N64" s="528"/>
      <c r="O64" s="528">
        <v>9000000</v>
      </c>
      <c r="P64" s="528"/>
      <c r="Q64" s="514" t="s">
        <v>2543</v>
      </c>
    </row>
    <row r="65" spans="1:17" ht="28.5" customHeight="1" x14ac:dyDescent="0.25">
      <c r="A65" s="529">
        <v>44</v>
      </c>
      <c r="B65" s="551" t="s">
        <v>1632</v>
      </c>
      <c r="C65" s="540" t="s">
        <v>1192</v>
      </c>
      <c r="D65" s="538" t="s">
        <v>1287</v>
      </c>
      <c r="E65" s="538" t="s">
        <v>1280</v>
      </c>
      <c r="F65" s="538" t="s">
        <v>1281</v>
      </c>
      <c r="G65" s="527" t="s">
        <v>1119</v>
      </c>
      <c r="H65" s="527" t="s">
        <v>1119</v>
      </c>
      <c r="I65" s="527" t="s">
        <v>1119</v>
      </c>
      <c r="J65" s="527" t="s">
        <v>1119</v>
      </c>
      <c r="K65" s="527" t="s">
        <v>1119</v>
      </c>
      <c r="L65" s="526" t="s">
        <v>1282</v>
      </c>
      <c r="M65" s="526" t="s">
        <v>1288</v>
      </c>
      <c r="N65" s="528"/>
      <c r="O65" s="528">
        <v>26000000</v>
      </c>
      <c r="P65" s="528"/>
      <c r="Q65" s="514" t="s">
        <v>2543</v>
      </c>
    </row>
    <row r="66" spans="1:17" ht="48.75" customHeight="1" x14ac:dyDescent="0.25">
      <c r="A66" s="529">
        <v>45</v>
      </c>
      <c r="B66" s="574" t="s">
        <v>2287</v>
      </c>
      <c r="C66" s="525" t="s">
        <v>1013</v>
      </c>
      <c r="D66" s="526" t="s">
        <v>1329</v>
      </c>
      <c r="E66" s="526" t="s">
        <v>1330</v>
      </c>
      <c r="F66" s="526" t="s">
        <v>1331</v>
      </c>
      <c r="G66" s="527" t="s">
        <v>1119</v>
      </c>
      <c r="H66" s="527" t="s">
        <v>1119</v>
      </c>
      <c r="I66" s="527" t="s">
        <v>1119</v>
      </c>
      <c r="J66" s="527" t="s">
        <v>1119</v>
      </c>
      <c r="K66" s="527" t="s">
        <v>1119</v>
      </c>
      <c r="L66" s="526" t="s">
        <v>1282</v>
      </c>
      <c r="M66" s="526" t="s">
        <v>1332</v>
      </c>
      <c r="N66" s="528"/>
      <c r="O66" s="528">
        <v>20000000</v>
      </c>
      <c r="P66" s="528"/>
      <c r="Q66" s="529" t="s">
        <v>2544</v>
      </c>
    </row>
    <row r="67" spans="1:17" ht="47.25" customHeight="1" x14ac:dyDescent="0.25">
      <c r="A67" s="529">
        <v>47</v>
      </c>
      <c r="B67" s="551" t="s">
        <v>1238</v>
      </c>
      <c r="C67" s="525" t="s">
        <v>1192</v>
      </c>
      <c r="D67" s="526" t="s">
        <v>2546</v>
      </c>
      <c r="E67" s="526" t="s">
        <v>1289</v>
      </c>
      <c r="F67" s="526" t="s">
        <v>1290</v>
      </c>
      <c r="G67" s="527" t="s">
        <v>1119</v>
      </c>
      <c r="H67" s="527" t="s">
        <v>1119</v>
      </c>
      <c r="I67" s="527" t="s">
        <v>1119</v>
      </c>
      <c r="J67" s="527" t="s">
        <v>1119</v>
      </c>
      <c r="K67" s="527" t="s">
        <v>1119</v>
      </c>
      <c r="L67" s="526" t="s">
        <v>1291</v>
      </c>
      <c r="M67" s="526" t="s">
        <v>1292</v>
      </c>
      <c r="N67" s="528"/>
      <c r="O67" s="528">
        <v>25000000</v>
      </c>
      <c r="P67" s="528"/>
      <c r="Q67" s="514" t="s">
        <v>2543</v>
      </c>
    </row>
    <row r="68" spans="1:17" ht="39" customHeight="1" x14ac:dyDescent="0.25">
      <c r="A68" s="529">
        <v>48</v>
      </c>
      <c r="B68" s="551" t="s">
        <v>2547</v>
      </c>
      <c r="C68" s="540" t="s">
        <v>1328</v>
      </c>
      <c r="D68" s="526" t="s">
        <v>1293</v>
      </c>
      <c r="E68" s="526" t="s">
        <v>1294</v>
      </c>
      <c r="F68" s="526" t="s">
        <v>16</v>
      </c>
      <c r="G68" s="527" t="s">
        <v>1119</v>
      </c>
      <c r="H68" s="527" t="s">
        <v>1119</v>
      </c>
      <c r="I68" s="527" t="s">
        <v>1119</v>
      </c>
      <c r="J68" s="527" t="s">
        <v>1119</v>
      </c>
      <c r="K68" s="527" t="s">
        <v>1119</v>
      </c>
      <c r="L68" s="526" t="s">
        <v>1141</v>
      </c>
      <c r="M68" s="526" t="s">
        <v>1295</v>
      </c>
      <c r="N68" s="528"/>
      <c r="O68" s="528">
        <v>5000000</v>
      </c>
      <c r="P68" s="528"/>
      <c r="Q68" s="514" t="s">
        <v>2543</v>
      </c>
    </row>
    <row r="69" spans="1:17" ht="47.25" customHeight="1" x14ac:dyDescent="0.25">
      <c r="A69" s="529">
        <v>49</v>
      </c>
      <c r="B69" s="574" t="s">
        <v>809</v>
      </c>
      <c r="C69" s="575" t="s">
        <v>2548</v>
      </c>
      <c r="D69" s="526" t="s">
        <v>1338</v>
      </c>
      <c r="E69" s="526" t="s">
        <v>1339</v>
      </c>
      <c r="F69" s="526" t="s">
        <v>1340</v>
      </c>
      <c r="G69" s="527" t="s">
        <v>1119</v>
      </c>
      <c r="H69" s="527" t="s">
        <v>1119</v>
      </c>
      <c r="I69" s="527" t="s">
        <v>1119</v>
      </c>
      <c r="J69" s="527" t="s">
        <v>1119</v>
      </c>
      <c r="K69" s="527" t="s">
        <v>1119</v>
      </c>
      <c r="L69" s="526" t="s">
        <v>16</v>
      </c>
      <c r="M69" s="526" t="s">
        <v>1314</v>
      </c>
      <c r="N69" s="548"/>
      <c r="O69" s="549"/>
      <c r="P69" s="549">
        <v>700000000</v>
      </c>
      <c r="Q69" s="524" t="s">
        <v>1197</v>
      </c>
    </row>
    <row r="70" spans="1:17" ht="53.25" customHeight="1" x14ac:dyDescent="0.25">
      <c r="A70" s="529">
        <v>53</v>
      </c>
      <c r="B70" s="541" t="s">
        <v>874</v>
      </c>
      <c r="C70" s="542" t="s">
        <v>2549</v>
      </c>
      <c r="D70" s="526" t="s">
        <v>1382</v>
      </c>
      <c r="E70" s="526" t="s">
        <v>1383</v>
      </c>
      <c r="F70" s="526" t="s">
        <v>1384</v>
      </c>
      <c r="G70" s="527" t="s">
        <v>1119</v>
      </c>
      <c r="H70" s="527" t="s">
        <v>1119</v>
      </c>
      <c r="I70" s="527" t="s">
        <v>1119</v>
      </c>
      <c r="J70" s="527" t="s">
        <v>1119</v>
      </c>
      <c r="K70" s="527" t="s">
        <v>1119</v>
      </c>
      <c r="L70" s="526" t="s">
        <v>16</v>
      </c>
      <c r="M70" s="526" t="s">
        <v>1385</v>
      </c>
      <c r="N70" s="548"/>
      <c r="O70" s="549">
        <f>(750000*65)</f>
        <v>48750000</v>
      </c>
      <c r="P70" s="549"/>
      <c r="Q70" s="514" t="s">
        <v>2550</v>
      </c>
    </row>
    <row r="71" spans="1:17" ht="60" customHeight="1" x14ac:dyDescent="0.25">
      <c r="A71" s="529">
        <v>54</v>
      </c>
      <c r="B71" s="541" t="s">
        <v>874</v>
      </c>
      <c r="C71" s="542" t="s">
        <v>2549</v>
      </c>
      <c r="D71" s="535" t="s">
        <v>1323</v>
      </c>
      <c r="E71" s="535" t="s">
        <v>1324</v>
      </c>
      <c r="F71" s="535" t="s">
        <v>1325</v>
      </c>
      <c r="G71" s="527" t="s">
        <v>1119</v>
      </c>
      <c r="H71" s="527" t="s">
        <v>1119</v>
      </c>
      <c r="I71" s="527" t="s">
        <v>1119</v>
      </c>
      <c r="J71" s="527" t="s">
        <v>1119</v>
      </c>
      <c r="K71" s="527" t="s">
        <v>1119</v>
      </c>
      <c r="L71" s="535" t="s">
        <v>1326</v>
      </c>
      <c r="M71" s="526" t="s">
        <v>1327</v>
      </c>
      <c r="N71" s="581"/>
      <c r="O71" s="582">
        <v>8950000</v>
      </c>
      <c r="P71" s="536"/>
      <c r="Q71" s="543" t="s">
        <v>2551</v>
      </c>
    </row>
    <row r="72" spans="1:17" ht="63" x14ac:dyDescent="0.25">
      <c r="A72" s="529">
        <v>55</v>
      </c>
      <c r="B72" s="574" t="s">
        <v>531</v>
      </c>
      <c r="C72" s="526" t="s">
        <v>1249</v>
      </c>
      <c r="D72" s="526" t="s">
        <v>1334</v>
      </c>
      <c r="E72" s="526" t="s">
        <v>1335</v>
      </c>
      <c r="F72" s="526" t="s">
        <v>1336</v>
      </c>
      <c r="G72" s="527" t="s">
        <v>1119</v>
      </c>
      <c r="H72" s="527" t="s">
        <v>1119</v>
      </c>
      <c r="I72" s="527" t="s">
        <v>1119</v>
      </c>
      <c r="J72" s="527" t="s">
        <v>1119</v>
      </c>
      <c r="K72" s="527" t="s">
        <v>1119</v>
      </c>
      <c r="L72" s="526" t="s">
        <v>16</v>
      </c>
      <c r="M72" s="526" t="s">
        <v>1337</v>
      </c>
      <c r="N72" s="576"/>
      <c r="O72" s="577">
        <f>(6900000*2)+(3220000*1)+(9026350*1)</f>
        <v>26046350</v>
      </c>
      <c r="P72" s="576"/>
      <c r="Q72" s="514" t="s">
        <v>2552</v>
      </c>
    </row>
    <row r="73" spans="1:17" ht="42.75" customHeight="1" x14ac:dyDescent="0.25">
      <c r="A73" s="529">
        <v>56</v>
      </c>
      <c r="B73" s="574" t="s">
        <v>1159</v>
      </c>
      <c r="C73" s="555" t="s">
        <v>2553</v>
      </c>
      <c r="D73" s="526" t="s">
        <v>1341</v>
      </c>
      <c r="E73" s="526" t="s">
        <v>1342</v>
      </c>
      <c r="F73" s="526" t="s">
        <v>1252</v>
      </c>
      <c r="G73" s="527" t="s">
        <v>1119</v>
      </c>
      <c r="H73" s="527" t="s">
        <v>1119</v>
      </c>
      <c r="I73" s="527" t="s">
        <v>1119</v>
      </c>
      <c r="J73" s="527" t="s">
        <v>1119</v>
      </c>
      <c r="K73" s="527" t="s">
        <v>1119</v>
      </c>
      <c r="L73" s="526" t="s">
        <v>1253</v>
      </c>
      <c r="M73" s="526" t="s">
        <v>806</v>
      </c>
      <c r="N73" s="548"/>
      <c r="O73" s="549"/>
      <c r="P73" s="549">
        <v>10000000</v>
      </c>
      <c r="Q73" s="514" t="s">
        <v>2554</v>
      </c>
    </row>
    <row r="74" spans="1:17" ht="52.5" customHeight="1" x14ac:dyDescent="0.25">
      <c r="A74" s="529">
        <v>57</v>
      </c>
      <c r="B74" s="574" t="s">
        <v>1711</v>
      </c>
      <c r="C74" s="526" t="s">
        <v>2555</v>
      </c>
      <c r="D74" s="526" t="s">
        <v>1316</v>
      </c>
      <c r="E74" s="526" t="s">
        <v>1317</v>
      </c>
      <c r="F74" s="526" t="s">
        <v>1318</v>
      </c>
      <c r="G74" s="527" t="s">
        <v>1119</v>
      </c>
      <c r="H74" s="527" t="s">
        <v>1119</v>
      </c>
      <c r="I74" s="527" t="s">
        <v>1119</v>
      </c>
      <c r="J74" s="527" t="s">
        <v>1119</v>
      </c>
      <c r="K74" s="527" t="s">
        <v>1119</v>
      </c>
      <c r="L74" s="526" t="s">
        <v>16</v>
      </c>
      <c r="M74" s="526" t="s">
        <v>106</v>
      </c>
      <c r="N74" s="539"/>
      <c r="O74" s="528"/>
      <c r="P74" s="528">
        <v>7000000</v>
      </c>
      <c r="Q74" s="514" t="s">
        <v>2556</v>
      </c>
    </row>
    <row r="75" spans="1:17" ht="46.5" customHeight="1" x14ac:dyDescent="0.25">
      <c r="A75" s="529">
        <v>58</v>
      </c>
      <c r="B75" s="574" t="s">
        <v>1711</v>
      </c>
      <c r="C75" s="526" t="s">
        <v>2555</v>
      </c>
      <c r="D75" s="535" t="s">
        <v>1319</v>
      </c>
      <c r="E75" s="526" t="s">
        <v>1320</v>
      </c>
      <c r="F75" s="526" t="s">
        <v>820</v>
      </c>
      <c r="G75" s="527" t="s">
        <v>1119</v>
      </c>
      <c r="H75" s="527" t="s">
        <v>1119</v>
      </c>
      <c r="I75" s="527" t="s">
        <v>1119</v>
      </c>
      <c r="J75" s="527" t="s">
        <v>1119</v>
      </c>
      <c r="K75" s="527" t="s">
        <v>1119</v>
      </c>
      <c r="L75" s="526" t="s">
        <v>16</v>
      </c>
      <c r="M75" s="526" t="s">
        <v>1299</v>
      </c>
      <c r="N75" s="528"/>
      <c r="O75" s="528"/>
      <c r="P75" s="528">
        <v>8000000</v>
      </c>
      <c r="Q75" s="514" t="s">
        <v>2556</v>
      </c>
    </row>
    <row r="76" spans="1:17" ht="39.75" customHeight="1" x14ac:dyDescent="0.25">
      <c r="A76" s="529">
        <v>59</v>
      </c>
      <c r="B76" s="574" t="s">
        <v>1711</v>
      </c>
      <c r="C76" s="526" t="s">
        <v>2555</v>
      </c>
      <c r="D76" s="538" t="s">
        <v>1321</v>
      </c>
      <c r="E76" s="538" t="s">
        <v>1297</v>
      </c>
      <c r="F76" s="538" t="s">
        <v>1282</v>
      </c>
      <c r="G76" s="527" t="s">
        <v>1119</v>
      </c>
      <c r="H76" s="527" t="s">
        <v>1119</v>
      </c>
      <c r="I76" s="527" t="s">
        <v>1119</v>
      </c>
      <c r="J76" s="527" t="s">
        <v>1119</v>
      </c>
      <c r="K76" s="527" t="s">
        <v>1119</v>
      </c>
      <c r="L76" s="526" t="s">
        <v>1298</v>
      </c>
      <c r="M76" s="526" t="s">
        <v>1299</v>
      </c>
      <c r="N76" s="528"/>
      <c r="O76" s="528"/>
      <c r="P76" s="528">
        <v>8000000</v>
      </c>
      <c r="Q76" s="514" t="s">
        <v>2556</v>
      </c>
    </row>
    <row r="77" spans="1:17" ht="36" customHeight="1" x14ac:dyDescent="0.25">
      <c r="A77" s="529">
        <v>60</v>
      </c>
      <c r="B77" s="574" t="s">
        <v>1711</v>
      </c>
      <c r="C77" s="526" t="s">
        <v>2555</v>
      </c>
      <c r="D77" s="538" t="s">
        <v>1296</v>
      </c>
      <c r="E77" s="538" t="s">
        <v>1297</v>
      </c>
      <c r="F77" s="538" t="s">
        <v>1282</v>
      </c>
      <c r="G77" s="527" t="s">
        <v>1119</v>
      </c>
      <c r="H77" s="527" t="s">
        <v>1119</v>
      </c>
      <c r="I77" s="527" t="s">
        <v>1119</v>
      </c>
      <c r="J77" s="527" t="s">
        <v>1119</v>
      </c>
      <c r="K77" s="527" t="s">
        <v>1119</v>
      </c>
      <c r="L77" s="526" t="s">
        <v>1298</v>
      </c>
      <c r="M77" s="526" t="s">
        <v>1299</v>
      </c>
      <c r="N77" s="528"/>
      <c r="O77" s="528"/>
      <c r="P77" s="528">
        <v>8000000</v>
      </c>
      <c r="Q77" s="529" t="s">
        <v>1300</v>
      </c>
    </row>
    <row r="78" spans="1:17" ht="41.25" customHeight="1" x14ac:dyDescent="0.25">
      <c r="A78" s="529">
        <v>61</v>
      </c>
      <c r="B78" s="551" t="s">
        <v>1685</v>
      </c>
      <c r="C78" s="540" t="s">
        <v>1311</v>
      </c>
      <c r="D78" s="538" t="s">
        <v>2557</v>
      </c>
      <c r="E78" s="526" t="s">
        <v>1312</v>
      </c>
      <c r="F78" s="526" t="s">
        <v>1313</v>
      </c>
      <c r="G78" s="527" t="s">
        <v>1119</v>
      </c>
      <c r="H78" s="527" t="s">
        <v>1119</v>
      </c>
      <c r="I78" s="527" t="s">
        <v>1119</v>
      </c>
      <c r="J78" s="527" t="s">
        <v>1119</v>
      </c>
      <c r="K78" s="527" t="s">
        <v>1119</v>
      </c>
      <c r="L78" s="526" t="s">
        <v>1141</v>
      </c>
      <c r="M78" s="526" t="s">
        <v>1314</v>
      </c>
      <c r="N78" s="528"/>
      <c r="O78" s="528"/>
      <c r="P78" s="528">
        <v>20000000</v>
      </c>
      <c r="Q78" s="529" t="s">
        <v>2558</v>
      </c>
    </row>
    <row r="79" spans="1:17" ht="41.25" customHeight="1" x14ac:dyDescent="0.25">
      <c r="A79" s="529">
        <v>63</v>
      </c>
      <c r="B79" s="559" t="s">
        <v>923</v>
      </c>
      <c r="C79" s="540" t="s">
        <v>2523</v>
      </c>
      <c r="D79" s="538" t="s">
        <v>1344</v>
      </c>
      <c r="E79" s="538" t="s">
        <v>2561</v>
      </c>
      <c r="F79" s="526" t="s">
        <v>1345</v>
      </c>
      <c r="G79" s="527" t="s">
        <v>1119</v>
      </c>
      <c r="H79" s="527" t="s">
        <v>1119</v>
      </c>
      <c r="I79" s="527" t="s">
        <v>1119</v>
      </c>
      <c r="J79" s="527" t="s">
        <v>1119</v>
      </c>
      <c r="K79" s="527" t="s">
        <v>1119</v>
      </c>
      <c r="L79" s="526" t="s">
        <v>1346</v>
      </c>
      <c r="M79" s="526" t="s">
        <v>1347</v>
      </c>
      <c r="N79" s="528"/>
      <c r="O79" s="528">
        <v>30000000</v>
      </c>
      <c r="P79" s="528"/>
      <c r="Q79" s="529" t="s">
        <v>2562</v>
      </c>
    </row>
    <row r="80" spans="1:17" ht="38.25" customHeight="1" x14ac:dyDescent="0.25">
      <c r="A80" s="529">
        <v>64</v>
      </c>
      <c r="B80" s="574" t="s">
        <v>1333</v>
      </c>
      <c r="C80" s="535" t="s">
        <v>1179</v>
      </c>
      <c r="D80" s="538" t="s">
        <v>1307</v>
      </c>
      <c r="E80" s="526" t="s">
        <v>1308</v>
      </c>
      <c r="F80" s="526" t="s">
        <v>1309</v>
      </c>
      <c r="G80" s="527" t="s">
        <v>1119</v>
      </c>
      <c r="H80" s="527" t="s">
        <v>1119</v>
      </c>
      <c r="I80" s="527" t="s">
        <v>1119</v>
      </c>
      <c r="J80" s="527" t="s">
        <v>1119</v>
      </c>
      <c r="K80" s="527" t="s">
        <v>1119</v>
      </c>
      <c r="L80" s="526" t="s">
        <v>16</v>
      </c>
      <c r="M80" s="538" t="s">
        <v>1310</v>
      </c>
      <c r="N80" s="528"/>
      <c r="O80" s="550">
        <f>15364000*2</f>
        <v>30728000</v>
      </c>
      <c r="P80" s="550"/>
      <c r="Q80" s="583" t="s">
        <v>2563</v>
      </c>
    </row>
    <row r="81" spans="1:17" ht="50.25" customHeight="1" x14ac:dyDescent="0.25">
      <c r="A81" s="529">
        <v>67</v>
      </c>
      <c r="B81" s="574" t="s">
        <v>1069</v>
      </c>
      <c r="C81" s="525" t="s">
        <v>1116</v>
      </c>
      <c r="D81" s="535" t="s">
        <v>1256</v>
      </c>
      <c r="E81" s="526" t="s">
        <v>1380</v>
      </c>
      <c r="F81" s="526" t="s">
        <v>1367</v>
      </c>
      <c r="G81" s="527" t="s">
        <v>1119</v>
      </c>
      <c r="H81" s="527" t="s">
        <v>1119</v>
      </c>
      <c r="I81" s="527" t="s">
        <v>1119</v>
      </c>
      <c r="J81" s="527" t="s">
        <v>1119</v>
      </c>
      <c r="K81" s="527" t="s">
        <v>1119</v>
      </c>
      <c r="L81" s="526" t="s">
        <v>1272</v>
      </c>
      <c r="M81" s="526" t="s">
        <v>1381</v>
      </c>
      <c r="N81" s="528"/>
      <c r="O81" s="528">
        <v>45000000</v>
      </c>
      <c r="P81" s="528"/>
      <c r="Q81" s="514" t="s">
        <v>2537</v>
      </c>
    </row>
    <row r="82" spans="1:17" ht="26.25" customHeight="1" x14ac:dyDescent="0.25">
      <c r="A82" s="584" t="s">
        <v>2567</v>
      </c>
      <c r="B82" s="879" t="s">
        <v>2568</v>
      </c>
      <c r="C82" s="880"/>
      <c r="D82" s="881"/>
      <c r="E82" s="520"/>
      <c r="F82" s="520"/>
      <c r="G82" s="521"/>
      <c r="H82" s="521"/>
      <c r="I82" s="521"/>
      <c r="J82" s="521"/>
      <c r="K82" s="521"/>
      <c r="L82" s="520"/>
      <c r="M82" s="520"/>
      <c r="N82" s="522"/>
      <c r="O82" s="522"/>
      <c r="P82" s="522"/>
      <c r="Q82" s="585"/>
    </row>
    <row r="83" spans="1:17" ht="40.5" customHeight="1" x14ac:dyDescent="0.25">
      <c r="A83" s="586"/>
      <c r="B83" s="885" t="s">
        <v>2569</v>
      </c>
      <c r="C83" s="886"/>
      <c r="D83" s="886"/>
      <c r="E83" s="886"/>
      <c r="F83" s="887"/>
      <c r="G83" s="514"/>
      <c r="H83" s="514"/>
      <c r="I83" s="514"/>
      <c r="J83" s="514"/>
      <c r="K83" s="514"/>
      <c r="L83" s="526"/>
      <c r="M83" s="526"/>
      <c r="N83" s="528"/>
      <c r="O83" s="528"/>
      <c r="P83" s="528"/>
      <c r="Q83" s="576"/>
    </row>
    <row r="84" spans="1:17" ht="40.5" customHeight="1" x14ac:dyDescent="0.25">
      <c r="A84" s="529">
        <v>71</v>
      </c>
      <c r="B84" s="574" t="s">
        <v>1322</v>
      </c>
      <c r="C84" s="575" t="s">
        <v>1169</v>
      </c>
      <c r="D84" s="525" t="s">
        <v>2570</v>
      </c>
      <c r="E84" s="526" t="s">
        <v>1415</v>
      </c>
      <c r="F84" s="526" t="s">
        <v>1416</v>
      </c>
      <c r="G84" s="527" t="s">
        <v>1119</v>
      </c>
      <c r="H84" s="527" t="s">
        <v>1119</v>
      </c>
      <c r="I84" s="527" t="s">
        <v>1119</v>
      </c>
      <c r="J84" s="527" t="s">
        <v>1119</v>
      </c>
      <c r="K84" s="527" t="s">
        <v>1119</v>
      </c>
      <c r="L84" s="526" t="s">
        <v>1417</v>
      </c>
      <c r="M84" s="587" t="s">
        <v>1254</v>
      </c>
      <c r="N84" s="528">
        <v>48000000</v>
      </c>
      <c r="O84" s="528"/>
      <c r="P84" s="576"/>
      <c r="Q84" s="529" t="s">
        <v>2473</v>
      </c>
    </row>
    <row r="85" spans="1:17" ht="33" customHeight="1" x14ac:dyDescent="0.25">
      <c r="A85" s="529">
        <v>72</v>
      </c>
      <c r="B85" s="574" t="s">
        <v>869</v>
      </c>
      <c r="C85" s="575" t="s">
        <v>1392</v>
      </c>
      <c r="D85" s="538" t="s">
        <v>1393</v>
      </c>
      <c r="E85" s="526" t="s">
        <v>1394</v>
      </c>
      <c r="F85" s="526" t="s">
        <v>1395</v>
      </c>
      <c r="G85" s="527" t="s">
        <v>1119</v>
      </c>
      <c r="H85" s="527" t="s">
        <v>1119</v>
      </c>
      <c r="I85" s="527" t="s">
        <v>1119</v>
      </c>
      <c r="J85" s="527" t="s">
        <v>1119</v>
      </c>
      <c r="K85" s="527" t="s">
        <v>1119</v>
      </c>
      <c r="L85" s="526" t="s">
        <v>16</v>
      </c>
      <c r="M85" s="526" t="s">
        <v>1396</v>
      </c>
      <c r="N85" s="528">
        <v>25139784</v>
      </c>
      <c r="O85" s="552"/>
      <c r="P85" s="552"/>
      <c r="Q85" s="529" t="s">
        <v>2473</v>
      </c>
    </row>
    <row r="86" spans="1:17" ht="40.5" customHeight="1" x14ac:dyDescent="0.25">
      <c r="A86" s="529">
        <v>73</v>
      </c>
      <c r="B86" s="574" t="s">
        <v>869</v>
      </c>
      <c r="C86" s="575" t="s">
        <v>1392</v>
      </c>
      <c r="D86" s="538" t="s">
        <v>1397</v>
      </c>
      <c r="E86" s="526" t="s">
        <v>1398</v>
      </c>
      <c r="F86" s="526" t="s">
        <v>1399</v>
      </c>
      <c r="G86" s="527" t="s">
        <v>1119</v>
      </c>
      <c r="H86" s="527" t="s">
        <v>1119</v>
      </c>
      <c r="I86" s="527" t="s">
        <v>1119</v>
      </c>
      <c r="J86" s="527" t="s">
        <v>1119</v>
      </c>
      <c r="K86" s="527" t="s">
        <v>1119</v>
      </c>
      <c r="L86" s="526" t="s">
        <v>16</v>
      </c>
      <c r="M86" s="526" t="s">
        <v>1400</v>
      </c>
      <c r="N86" s="528">
        <v>138200000</v>
      </c>
      <c r="O86" s="552"/>
      <c r="P86" s="552"/>
      <c r="Q86" s="529" t="s">
        <v>2473</v>
      </c>
    </row>
    <row r="87" spans="1:17" ht="49.5" customHeight="1" x14ac:dyDescent="0.25">
      <c r="A87" s="529">
        <v>74</v>
      </c>
      <c r="B87" s="574" t="s">
        <v>869</v>
      </c>
      <c r="C87" s="575" t="s">
        <v>1392</v>
      </c>
      <c r="D87" s="538" t="s">
        <v>1401</v>
      </c>
      <c r="E87" s="526" t="s">
        <v>1402</v>
      </c>
      <c r="F87" s="526" t="s">
        <v>1403</v>
      </c>
      <c r="G87" s="527" t="s">
        <v>1119</v>
      </c>
      <c r="H87" s="527" t="s">
        <v>1119</v>
      </c>
      <c r="I87" s="527" t="s">
        <v>1119</v>
      </c>
      <c r="J87" s="527" t="s">
        <v>1119</v>
      </c>
      <c r="K87" s="527" t="s">
        <v>1119</v>
      </c>
      <c r="L87" s="526" t="s">
        <v>16</v>
      </c>
      <c r="M87" s="526" t="s">
        <v>1404</v>
      </c>
      <c r="N87" s="528">
        <v>23700000</v>
      </c>
      <c r="O87" s="552"/>
      <c r="P87" s="552"/>
      <c r="Q87" s="529" t="s">
        <v>2473</v>
      </c>
    </row>
    <row r="88" spans="1:17" ht="50.1" customHeight="1" x14ac:dyDescent="0.25">
      <c r="A88" s="529">
        <v>75</v>
      </c>
      <c r="B88" s="574" t="s">
        <v>869</v>
      </c>
      <c r="C88" s="575" t="s">
        <v>1392</v>
      </c>
      <c r="D88" s="538" t="s">
        <v>1405</v>
      </c>
      <c r="E88" s="526" t="s">
        <v>1406</v>
      </c>
      <c r="F88" s="526" t="s">
        <v>1407</v>
      </c>
      <c r="G88" s="527" t="s">
        <v>1119</v>
      </c>
      <c r="H88" s="527" t="s">
        <v>1119</v>
      </c>
      <c r="I88" s="527" t="s">
        <v>1119</v>
      </c>
      <c r="J88" s="527" t="s">
        <v>1119</v>
      </c>
      <c r="K88" s="527" t="s">
        <v>1119</v>
      </c>
      <c r="L88" s="526" t="s">
        <v>16</v>
      </c>
      <c r="M88" s="526" t="s">
        <v>1408</v>
      </c>
      <c r="N88" s="528">
        <v>149520000</v>
      </c>
      <c r="O88" s="552"/>
      <c r="P88" s="552"/>
      <c r="Q88" s="529" t="s">
        <v>2473</v>
      </c>
    </row>
    <row r="89" spans="1:17" ht="41.25" customHeight="1" x14ac:dyDescent="0.25">
      <c r="A89" s="529">
        <v>76</v>
      </c>
      <c r="B89" s="574" t="s">
        <v>869</v>
      </c>
      <c r="C89" s="575" t="s">
        <v>1392</v>
      </c>
      <c r="D89" s="538" t="s">
        <v>2571</v>
      </c>
      <c r="E89" s="526" t="s">
        <v>1409</v>
      </c>
      <c r="F89" s="526" t="s">
        <v>1410</v>
      </c>
      <c r="G89" s="527" t="s">
        <v>1119</v>
      </c>
      <c r="H89" s="527" t="s">
        <v>1119</v>
      </c>
      <c r="I89" s="527" t="s">
        <v>1119</v>
      </c>
      <c r="J89" s="527" t="s">
        <v>1119</v>
      </c>
      <c r="K89" s="527" t="s">
        <v>1119</v>
      </c>
      <c r="L89" s="526" t="s">
        <v>16</v>
      </c>
      <c r="M89" s="526" t="s">
        <v>1411</v>
      </c>
      <c r="N89" s="528">
        <v>10000000</v>
      </c>
      <c r="O89" s="552"/>
      <c r="P89" s="552"/>
      <c r="Q89" s="529" t="s">
        <v>2473</v>
      </c>
    </row>
    <row r="90" spans="1:17" ht="35.25" customHeight="1" x14ac:dyDescent="0.25">
      <c r="A90" s="529">
        <v>77</v>
      </c>
      <c r="B90" s="574" t="s">
        <v>869</v>
      </c>
      <c r="C90" s="575" t="s">
        <v>1392</v>
      </c>
      <c r="D90" s="526" t="s">
        <v>2572</v>
      </c>
      <c r="E90" s="526" t="s">
        <v>1412</v>
      </c>
      <c r="F90" s="526" t="s">
        <v>1413</v>
      </c>
      <c r="G90" s="527" t="s">
        <v>1119</v>
      </c>
      <c r="H90" s="527" t="s">
        <v>1119</v>
      </c>
      <c r="I90" s="527" t="s">
        <v>1119</v>
      </c>
      <c r="J90" s="527" t="s">
        <v>1119</v>
      </c>
      <c r="K90" s="527" t="s">
        <v>1119</v>
      </c>
      <c r="L90" s="526" t="s">
        <v>16</v>
      </c>
      <c r="M90" s="526" t="s">
        <v>1414</v>
      </c>
      <c r="N90" s="528">
        <v>3744000</v>
      </c>
      <c r="O90" s="552"/>
      <c r="P90" s="528"/>
      <c r="Q90" s="529" t="s">
        <v>2473</v>
      </c>
    </row>
    <row r="91" spans="1:17" ht="24.95" customHeight="1" x14ac:dyDescent="0.25">
      <c r="A91" s="894"/>
      <c r="B91" s="895"/>
      <c r="C91" s="895"/>
      <c r="D91" s="895"/>
      <c r="E91" s="895"/>
      <c r="F91" s="895"/>
      <c r="G91" s="895"/>
      <c r="H91" s="895"/>
      <c r="I91" s="895"/>
      <c r="J91" s="895"/>
      <c r="K91" s="896"/>
      <c r="L91" s="526"/>
      <c r="M91" s="526"/>
      <c r="N91" s="588">
        <f>SUM(N34:N90)</f>
        <v>676466284</v>
      </c>
      <c r="O91" s="589">
        <f>SUM(O34:O90)</f>
        <v>5845605150</v>
      </c>
      <c r="P91" s="589">
        <f>SUM(P34:P90)</f>
        <v>1186000000</v>
      </c>
      <c r="Q91" s="533"/>
    </row>
    <row r="92" spans="1:17" ht="26.25" customHeight="1" x14ac:dyDescent="0.25"/>
    <row r="93" spans="1:17" ht="15.75" customHeight="1" x14ac:dyDescent="0.25">
      <c r="A93" s="897" t="s">
        <v>2573</v>
      </c>
      <c r="B93" s="897"/>
      <c r="C93" s="897"/>
      <c r="D93" s="897"/>
      <c r="M93" s="877" t="s">
        <v>2574</v>
      </c>
      <c r="N93" s="878"/>
      <c r="O93" s="878"/>
      <c r="P93" s="878"/>
      <c r="Q93" s="878"/>
    </row>
    <row r="94" spans="1:17" x14ac:dyDescent="0.25">
      <c r="B94" s="595"/>
      <c r="C94" s="596"/>
      <c r="D94" s="596"/>
      <c r="M94" s="597"/>
      <c r="N94" s="597"/>
      <c r="O94" s="598"/>
      <c r="P94" s="598"/>
      <c r="Q94" s="599"/>
    </row>
    <row r="95" spans="1:17" x14ac:dyDescent="0.25">
      <c r="A95" s="600" t="s">
        <v>2575</v>
      </c>
      <c r="B95" s="898" t="s">
        <v>2576</v>
      </c>
      <c r="C95" s="898"/>
      <c r="D95" s="601" t="s">
        <v>2577</v>
      </c>
      <c r="F95" s="899" t="s">
        <v>2578</v>
      </c>
      <c r="G95" s="899"/>
      <c r="H95" s="899"/>
      <c r="I95" s="899"/>
      <c r="J95" s="899"/>
      <c r="K95" s="899"/>
      <c r="M95" s="899" t="s">
        <v>2579</v>
      </c>
      <c r="N95" s="878"/>
      <c r="O95" s="878"/>
      <c r="P95" s="878"/>
      <c r="Q95" s="878"/>
    </row>
    <row r="96" spans="1:17" ht="15.75" customHeight="1" x14ac:dyDescent="0.25">
      <c r="A96" s="602" t="s">
        <v>2580</v>
      </c>
      <c r="B96" s="900" t="s">
        <v>2581</v>
      </c>
      <c r="C96" s="900"/>
      <c r="D96" s="603">
        <f>N8</f>
        <v>200000000</v>
      </c>
      <c r="F96" s="877" t="s">
        <v>2582</v>
      </c>
      <c r="G96" s="877"/>
      <c r="H96" s="877"/>
      <c r="I96" s="877"/>
      <c r="J96" s="877"/>
      <c r="K96" s="877"/>
      <c r="M96" s="877"/>
      <c r="N96" s="878"/>
      <c r="O96" s="878"/>
      <c r="P96" s="878"/>
      <c r="Q96" s="878"/>
    </row>
    <row r="97" spans="1:17" ht="15.95" customHeight="1" x14ac:dyDescent="0.25">
      <c r="A97" s="602" t="s">
        <v>2583</v>
      </c>
      <c r="B97" s="900" t="s">
        <v>2584</v>
      </c>
      <c r="C97" s="900"/>
      <c r="D97" s="603">
        <f>SUM(N34:N37)</f>
        <v>0</v>
      </c>
      <c r="F97" s="604"/>
      <c r="G97" s="604"/>
      <c r="H97" s="604"/>
      <c r="I97" s="604"/>
      <c r="J97" s="604"/>
      <c r="M97" s="604"/>
      <c r="N97" s="604"/>
      <c r="O97" s="604"/>
      <c r="P97" s="604"/>
      <c r="Q97" s="604"/>
    </row>
    <row r="98" spans="1:17" ht="15.95" customHeight="1" x14ac:dyDescent="0.25">
      <c r="A98" s="602" t="s">
        <v>2585</v>
      </c>
      <c r="B98" s="900" t="s">
        <v>2586</v>
      </c>
      <c r="C98" s="900"/>
      <c r="D98" s="603">
        <f>SUM(N54:N81)</f>
        <v>0</v>
      </c>
      <c r="F98" s="903"/>
      <c r="G98" s="903"/>
      <c r="H98" s="903"/>
      <c r="I98" s="903"/>
      <c r="J98" s="903"/>
      <c r="K98" s="903"/>
      <c r="M98" s="605"/>
      <c r="N98" s="605"/>
      <c r="O98" s="606"/>
      <c r="P98" s="539"/>
      <c r="Q98" s="607"/>
    </row>
    <row r="99" spans="1:17" ht="15.95" customHeight="1" x14ac:dyDescent="0.25">
      <c r="A99" s="602" t="s">
        <v>2587</v>
      </c>
      <c r="B99" s="900" t="s">
        <v>2588</v>
      </c>
      <c r="C99" s="900"/>
      <c r="D99" s="608">
        <f>SUM(N84:N90)</f>
        <v>398303784</v>
      </c>
      <c r="F99" s="904"/>
      <c r="G99" s="904"/>
      <c r="H99" s="904"/>
      <c r="I99" s="904"/>
      <c r="J99" s="904"/>
      <c r="K99" s="904"/>
      <c r="M99" s="609"/>
      <c r="N99" s="610"/>
      <c r="O99" s="606"/>
      <c r="P99" s="609"/>
      <c r="Q99" s="609"/>
    </row>
    <row r="100" spans="1:17" ht="20.100000000000001" customHeight="1" x14ac:dyDescent="0.25">
      <c r="A100" s="602"/>
      <c r="B100" s="901" t="s">
        <v>2589</v>
      </c>
      <c r="C100" s="901"/>
      <c r="D100" s="611">
        <f>D97+D98+D99</f>
        <v>398303784</v>
      </c>
      <c r="F100" s="903" t="s">
        <v>2590</v>
      </c>
      <c r="G100" s="903"/>
      <c r="H100" s="903"/>
      <c r="I100" s="903"/>
      <c r="J100" s="903"/>
      <c r="K100" s="903"/>
      <c r="N100" s="507"/>
      <c r="O100" s="606" t="s">
        <v>2474</v>
      </c>
      <c r="P100" s="507"/>
    </row>
    <row r="101" spans="1:17" x14ac:dyDescent="0.25">
      <c r="A101" s="602"/>
      <c r="B101" s="612"/>
      <c r="C101" s="613"/>
      <c r="D101" s="614"/>
      <c r="F101" s="904" t="s">
        <v>2591</v>
      </c>
      <c r="G101" s="904"/>
      <c r="H101" s="904"/>
      <c r="I101" s="904"/>
      <c r="J101" s="904"/>
      <c r="K101" s="904"/>
      <c r="O101" s="508"/>
    </row>
    <row r="102" spans="1:17" ht="15.95" customHeight="1" x14ac:dyDescent="0.25">
      <c r="A102" s="602" t="s">
        <v>2592</v>
      </c>
      <c r="B102" s="900" t="s">
        <v>2593</v>
      </c>
      <c r="C102" s="900"/>
      <c r="D102" s="614">
        <f>SUM(D97:D99)</f>
        <v>398303784</v>
      </c>
      <c r="F102" s="592"/>
      <c r="G102" s="508"/>
      <c r="H102" s="592"/>
      <c r="O102" s="508"/>
    </row>
    <row r="103" spans="1:17" ht="15.95" customHeight="1" x14ac:dyDescent="0.25">
      <c r="A103" s="602" t="s">
        <v>2594</v>
      </c>
      <c r="B103" s="900" t="s">
        <v>2595</v>
      </c>
      <c r="C103" s="900"/>
      <c r="D103" s="614">
        <v>833320000</v>
      </c>
      <c r="F103" s="905"/>
      <c r="G103" s="905"/>
      <c r="H103" s="905"/>
      <c r="N103" s="905"/>
      <c r="O103" s="905"/>
      <c r="P103" s="905"/>
    </row>
    <row r="104" spans="1:17" ht="20.100000000000001" customHeight="1" x14ac:dyDescent="0.25">
      <c r="A104" s="602"/>
      <c r="B104" s="901" t="s">
        <v>2596</v>
      </c>
      <c r="C104" s="901"/>
      <c r="D104" s="611">
        <f>SUM(D102-D103)</f>
        <v>-435016216</v>
      </c>
      <c r="F104" s="902"/>
      <c r="G104" s="902"/>
      <c r="H104" s="902"/>
      <c r="N104" s="902"/>
      <c r="O104" s="902"/>
      <c r="P104" s="902"/>
    </row>
    <row r="105" spans="1:17" x14ac:dyDescent="0.25">
      <c r="B105" s="595"/>
      <c r="C105" s="595"/>
      <c r="D105" s="605"/>
    </row>
    <row r="112" spans="1:17" x14ac:dyDescent="0.25">
      <c r="D112" s="615"/>
    </row>
    <row r="113" spans="4:4" x14ac:dyDescent="0.25">
      <c r="D113" s="616"/>
    </row>
    <row r="114" spans="4:4" x14ac:dyDescent="0.25">
      <c r="D114" s="616"/>
    </row>
    <row r="115" spans="4:4" x14ac:dyDescent="0.25">
      <c r="D115" s="616"/>
    </row>
    <row r="116" spans="4:4" x14ac:dyDescent="0.25">
      <c r="D116" s="616"/>
    </row>
    <row r="117" spans="4:4" x14ac:dyDescent="0.25">
      <c r="D117" s="616"/>
    </row>
    <row r="118" spans="4:4" x14ac:dyDescent="0.25">
      <c r="D118" s="616"/>
    </row>
  </sheetData>
  <mergeCells count="43">
    <mergeCell ref="B104:C104"/>
    <mergeCell ref="F104:H104"/>
    <mergeCell ref="N104:P104"/>
    <mergeCell ref="B97:C97"/>
    <mergeCell ref="B98:C98"/>
    <mergeCell ref="F98:K98"/>
    <mergeCell ref="B99:C99"/>
    <mergeCell ref="F99:K99"/>
    <mergeCell ref="B100:C100"/>
    <mergeCell ref="F100:K100"/>
    <mergeCell ref="F101:K101"/>
    <mergeCell ref="B102:C102"/>
    <mergeCell ref="B103:C103"/>
    <mergeCell ref="F103:H103"/>
    <mergeCell ref="N103:P103"/>
    <mergeCell ref="B95:C95"/>
    <mergeCell ref="F95:K95"/>
    <mergeCell ref="M95:Q95"/>
    <mergeCell ref="B96:C96"/>
    <mergeCell ref="F96:K96"/>
    <mergeCell ref="M96:Q96"/>
    <mergeCell ref="M93:Q93"/>
    <mergeCell ref="N4:P4"/>
    <mergeCell ref="Q4:Q5"/>
    <mergeCell ref="B7:D7"/>
    <mergeCell ref="B9:D9"/>
    <mergeCell ref="B10:F10"/>
    <mergeCell ref="B40:D40"/>
    <mergeCell ref="B41:F41"/>
    <mergeCell ref="B82:D82"/>
    <mergeCell ref="B83:F83"/>
    <mergeCell ref="A91:K91"/>
    <mergeCell ref="A93:D93"/>
    <mergeCell ref="A1:Q1"/>
    <mergeCell ref="A2:Q2"/>
    <mergeCell ref="A4:A5"/>
    <mergeCell ref="B4:B5"/>
    <mergeCell ref="C4:C5"/>
    <mergeCell ref="D4:D5"/>
    <mergeCell ref="E4:E5"/>
    <mergeCell ref="F4:K4"/>
    <mergeCell ref="L4:L5"/>
    <mergeCell ref="M4:M5"/>
  </mergeCells>
  <pageMargins left="0.43307086614173229" right="0.39370078740157483" top="0.55118110236220474" bottom="0.74803149606299213" header="0.31496062992125984" footer="0.31496062992125984"/>
  <pageSetup paperSize="5"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3.Rekap</vt:lpstr>
      <vt:lpstr>musrenbang baciro</vt:lpstr>
      <vt:lpstr>USULAN_FORM_2klitren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hp</cp:lastModifiedBy>
  <cp:lastPrinted>2022-02-05T12:24:11Z</cp:lastPrinted>
  <dcterms:created xsi:type="dcterms:W3CDTF">2022-02-05T05:56:19Z</dcterms:created>
  <dcterms:modified xsi:type="dcterms:W3CDTF">2022-02-19T06:20:47Z</dcterms:modified>
</cp:coreProperties>
</file>